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785" yWindow="45" windowWidth="10830" windowHeight="10140" tabRatio="829"/>
  </bookViews>
  <sheets>
    <sheet name="Tool" sheetId="39" r:id="rId1"/>
    <sheet name="Anleitung" sheetId="40" r:id="rId2"/>
    <sheet name="Summery" sheetId="18" r:id="rId3"/>
    <sheet name="Calc" sheetId="5" state="hidden" r:id="rId4"/>
    <sheet name="ThermoCem" sheetId="9" state="hidden" r:id="rId5"/>
    <sheet name="EWM" sheetId="12" state="hidden" r:id="rId6"/>
    <sheet name="Calidutherm" sheetId="13" state="hidden" r:id="rId7"/>
    <sheet name="HDG" sheetId="15" state="hidden" r:id="rId8"/>
    <sheet name="Duritherm" sheetId="17" state="hidden" r:id="rId9"/>
    <sheet name="StüwathermZ" sheetId="21" r:id="rId10"/>
    <sheet name="StüwapressF10" sheetId="22" state="hidden" r:id="rId11"/>
    <sheet name="k-Injekt" sheetId="16" state="hidden" r:id="rId12"/>
  </sheets>
  <definedNames>
    <definedName name="_GoBack" localSheetId="1">Anleitung!$A$2</definedName>
    <definedName name="_xlnm.Print_Titles" localSheetId="0">Tool!$A:$B,Tool!$1:$18</definedName>
  </definedNames>
  <calcPr calcId="145621"/>
</workbook>
</file>

<file path=xl/calcChain.xml><?xml version="1.0" encoding="utf-8"?>
<calcChain xmlns="http://schemas.openxmlformats.org/spreadsheetml/2006/main">
  <c r="A8" i="39" l="1"/>
  <c r="A17" i="40" l="1"/>
  <c r="A63" i="18" l="1"/>
  <c r="A63" i="39"/>
  <c r="A2" i="39"/>
  <c r="A4" i="40" l="1"/>
  <c r="A62" i="39" l="1"/>
  <c r="C56" i="39"/>
  <c r="C50" i="39"/>
  <c r="C40" i="39"/>
  <c r="C39" i="39"/>
  <c r="C38" i="39"/>
  <c r="C46" i="39"/>
  <c r="C45" i="39"/>
  <c r="C44" i="39"/>
  <c r="C33" i="39"/>
  <c r="C32" i="39"/>
  <c r="C27" i="39"/>
  <c r="C26" i="39"/>
  <c r="C20" i="39"/>
  <c r="C21" i="39"/>
  <c r="C22" i="39"/>
  <c r="C23" i="39"/>
  <c r="G12" i="39"/>
  <c r="G13" i="39"/>
  <c r="G11" i="39"/>
  <c r="E12" i="39"/>
  <c r="E13" i="39"/>
  <c r="E14" i="39"/>
  <c r="E11" i="39"/>
  <c r="A6" i="39"/>
  <c r="A9" i="39"/>
  <c r="A5" i="39"/>
  <c r="B12" i="18" l="1"/>
  <c r="B13" i="18"/>
  <c r="B14" i="18"/>
  <c r="B11" i="18"/>
  <c r="M55" i="39" l="1"/>
  <c r="L55" i="39"/>
  <c r="K55" i="39"/>
  <c r="I55" i="39"/>
  <c r="H55" i="39"/>
  <c r="B55" i="39"/>
  <c r="M49" i="39"/>
  <c r="L49" i="39"/>
  <c r="K49" i="39"/>
  <c r="J49" i="39"/>
  <c r="I49" i="39"/>
  <c r="H49" i="39"/>
  <c r="B49" i="39"/>
  <c r="M43" i="39"/>
  <c r="L43" i="39"/>
  <c r="K43" i="39"/>
  <c r="J43" i="39"/>
  <c r="I43" i="39"/>
  <c r="H43" i="39"/>
  <c r="B43" i="39"/>
  <c r="M37" i="39"/>
  <c r="L37" i="39"/>
  <c r="K37" i="39"/>
  <c r="J37" i="39"/>
  <c r="I37" i="39"/>
  <c r="H37" i="39"/>
  <c r="B37" i="39"/>
  <c r="M31" i="39"/>
  <c r="L31" i="39"/>
  <c r="K31" i="39"/>
  <c r="I31" i="39"/>
  <c r="H31" i="39"/>
  <c r="B31" i="39"/>
  <c r="M25" i="39"/>
  <c r="L25" i="39"/>
  <c r="J25" i="39"/>
  <c r="I25" i="39"/>
  <c r="H25" i="39"/>
  <c r="B25" i="39"/>
  <c r="M19" i="39"/>
  <c r="L19" i="39"/>
  <c r="K19" i="39"/>
  <c r="J19" i="39"/>
  <c r="I19" i="39"/>
  <c r="H19" i="39"/>
  <c r="B16" i="39"/>
  <c r="D13" i="39"/>
  <c r="D12" i="39"/>
  <c r="B27" i="16" l="1"/>
  <c r="A27" i="16"/>
  <c r="B27" i="22"/>
  <c r="A27" i="22"/>
  <c r="B27" i="21"/>
  <c r="A27" i="21"/>
  <c r="B27" i="17"/>
  <c r="A27" i="17"/>
  <c r="B27" i="15"/>
  <c r="A27" i="15"/>
  <c r="B27" i="13"/>
  <c r="A27" i="13"/>
  <c r="B27" i="12"/>
  <c r="A27" i="12"/>
  <c r="G13" i="18"/>
  <c r="I13" i="39" s="1"/>
  <c r="G12" i="18"/>
  <c r="I12" i="39" s="1"/>
  <c r="G11" i="18"/>
  <c r="I11" i="39" s="1"/>
  <c r="C13" i="18"/>
  <c r="C12" i="18"/>
  <c r="A14" i="18"/>
  <c r="A14" i="39" s="1"/>
  <c r="A13" i="18"/>
  <c r="A13" i="39" s="1"/>
  <c r="A12" i="18"/>
  <c r="A12" i="39" s="1"/>
  <c r="A11" i="18"/>
  <c r="A11" i="39" s="1"/>
  <c r="E14" i="18"/>
  <c r="G14" i="39" s="1"/>
  <c r="F10" i="5" l="1"/>
  <c r="D20" i="5" s="1"/>
  <c r="N55" i="18"/>
  <c r="N43" i="18"/>
  <c r="N37" i="18"/>
  <c r="N31" i="18"/>
  <c r="N25" i="18"/>
  <c r="N19" i="18" l="1"/>
  <c r="N56" i="18"/>
  <c r="N50" i="18"/>
  <c r="N44" i="18"/>
  <c r="N38" i="18"/>
  <c r="N32" i="18"/>
  <c r="N26" i="18"/>
  <c r="B27" i="9"/>
  <c r="A27" i="9"/>
  <c r="F8" i="5" l="1"/>
  <c r="F7" i="5"/>
  <c r="F9" i="5"/>
  <c r="B28" i="18" l="1"/>
  <c r="B28" i="39" s="1"/>
  <c r="B58" i="18"/>
  <c r="B58" i="39" s="1"/>
  <c r="B52" i="18"/>
  <c r="B52" i="39" s="1"/>
  <c r="B46" i="18"/>
  <c r="B46" i="39" s="1"/>
  <c r="B40" i="18"/>
  <c r="B40" i="39" s="1"/>
  <c r="B34" i="18"/>
  <c r="B34" i="39" s="1"/>
  <c r="B22" i="18"/>
  <c r="B22" i="39" s="1"/>
  <c r="O55" i="18"/>
  <c r="O49" i="18"/>
  <c r="O43" i="18"/>
  <c r="O37" i="18"/>
  <c r="O31" i="18"/>
  <c r="O25" i="18"/>
  <c r="O19" i="18"/>
  <c r="B30" i="22" l="1"/>
  <c r="C29" i="22"/>
  <c r="B26" i="22"/>
  <c r="A26" i="22"/>
  <c r="B25" i="22"/>
  <c r="A25" i="22"/>
  <c r="B24" i="22"/>
  <c r="A24" i="22"/>
  <c r="B23" i="22"/>
  <c r="A23" i="22"/>
  <c r="B21" i="22"/>
  <c r="B29" i="22" s="1"/>
  <c r="A21" i="22"/>
  <c r="A29" i="22" s="1"/>
  <c r="B20" i="22"/>
  <c r="A20" i="22"/>
  <c r="A19" i="22"/>
  <c r="A18" i="22"/>
  <c r="C17" i="22"/>
  <c r="J55" i="39" s="1"/>
  <c r="B17" i="22"/>
  <c r="A17" i="22"/>
  <c r="B16" i="22"/>
  <c r="A16" i="22"/>
  <c r="A15" i="22"/>
  <c r="B30" i="21"/>
  <c r="C29" i="21"/>
  <c r="B26" i="21"/>
  <c r="A26" i="21"/>
  <c r="B25" i="21"/>
  <c r="A25" i="21"/>
  <c r="B24" i="21"/>
  <c r="A24" i="21"/>
  <c r="B23" i="21"/>
  <c r="A23" i="21"/>
  <c r="B21" i="21"/>
  <c r="B29" i="21" s="1"/>
  <c r="A21" i="21"/>
  <c r="A29" i="21" s="1"/>
  <c r="B20" i="21"/>
  <c r="A20" i="21"/>
  <c r="A19" i="21"/>
  <c r="A18" i="21"/>
  <c r="B17" i="21"/>
  <c r="A17" i="21"/>
  <c r="B16" i="21"/>
  <c r="A16" i="21"/>
  <c r="A15" i="21"/>
  <c r="B30" i="17"/>
  <c r="C29" i="17"/>
  <c r="B26" i="17"/>
  <c r="A26" i="17"/>
  <c r="B25" i="17"/>
  <c r="A25" i="17"/>
  <c r="B24" i="17"/>
  <c r="A24" i="17"/>
  <c r="B23" i="17"/>
  <c r="A23" i="17"/>
  <c r="B21" i="17"/>
  <c r="B29" i="17" s="1"/>
  <c r="A21" i="17"/>
  <c r="A29" i="17" s="1"/>
  <c r="B20" i="17"/>
  <c r="A20" i="17"/>
  <c r="A19" i="17"/>
  <c r="A18" i="17"/>
  <c r="B17" i="17"/>
  <c r="A17" i="17"/>
  <c r="B16" i="17"/>
  <c r="A16" i="17"/>
  <c r="A15" i="17"/>
  <c r="B30" i="16"/>
  <c r="C29" i="16"/>
  <c r="B26" i="16"/>
  <c r="A26" i="16"/>
  <c r="B25" i="16"/>
  <c r="A25" i="16"/>
  <c r="B24" i="16"/>
  <c r="A24" i="16"/>
  <c r="B23" i="16"/>
  <c r="A23" i="16"/>
  <c r="B21" i="16"/>
  <c r="B29" i="16" s="1"/>
  <c r="A21" i="16"/>
  <c r="A29" i="16" s="1"/>
  <c r="B20" i="16"/>
  <c r="A20" i="16"/>
  <c r="A19" i="16"/>
  <c r="A18" i="16"/>
  <c r="B17" i="16"/>
  <c r="A17" i="16"/>
  <c r="B16" i="16"/>
  <c r="A16" i="16"/>
  <c r="A15" i="16"/>
  <c r="B30" i="15"/>
  <c r="C29" i="15"/>
  <c r="B26" i="15"/>
  <c r="A26" i="15"/>
  <c r="B25" i="15"/>
  <c r="A25" i="15"/>
  <c r="B24" i="15"/>
  <c r="A24" i="15"/>
  <c r="B23" i="15"/>
  <c r="A23" i="15"/>
  <c r="B21" i="15"/>
  <c r="B29" i="15" s="1"/>
  <c r="A21" i="15"/>
  <c r="A29" i="15" s="1"/>
  <c r="B20" i="15"/>
  <c r="A20" i="15"/>
  <c r="A19" i="15"/>
  <c r="A18" i="15"/>
  <c r="B17" i="15"/>
  <c r="A17" i="15"/>
  <c r="B16" i="15"/>
  <c r="A16" i="15"/>
  <c r="A15" i="15"/>
  <c r="B30" i="13"/>
  <c r="C29" i="13"/>
  <c r="B26" i="13"/>
  <c r="A26" i="13"/>
  <c r="B25" i="13"/>
  <c r="A25" i="13"/>
  <c r="B24" i="13"/>
  <c r="A24" i="13"/>
  <c r="B23" i="13"/>
  <c r="A23" i="13"/>
  <c r="B21" i="13"/>
  <c r="B29" i="13" s="1"/>
  <c r="A21" i="13"/>
  <c r="A29" i="13" s="1"/>
  <c r="B20" i="13"/>
  <c r="A20" i="13"/>
  <c r="A19" i="13"/>
  <c r="A18" i="13"/>
  <c r="C17" i="13"/>
  <c r="J31" i="39" s="1"/>
  <c r="B17" i="13"/>
  <c r="A17" i="13"/>
  <c r="B16" i="13"/>
  <c r="A16" i="13"/>
  <c r="A15" i="13"/>
  <c r="B30" i="12"/>
  <c r="C29" i="12"/>
  <c r="B26" i="12"/>
  <c r="A26" i="12"/>
  <c r="B25" i="12"/>
  <c r="A25" i="12"/>
  <c r="B24" i="12"/>
  <c r="A24" i="12"/>
  <c r="B23" i="12"/>
  <c r="A23" i="12"/>
  <c r="B21" i="12"/>
  <c r="B29" i="12" s="1"/>
  <c r="A21" i="12"/>
  <c r="A29" i="12" s="1"/>
  <c r="B20" i="12"/>
  <c r="A20" i="12"/>
  <c r="C19" i="12"/>
  <c r="K25" i="39" s="1"/>
  <c r="A19" i="12"/>
  <c r="A18" i="12"/>
  <c r="B17" i="12"/>
  <c r="A17" i="12"/>
  <c r="B16" i="12"/>
  <c r="A16" i="12"/>
  <c r="A15" i="12"/>
  <c r="B30" i="9"/>
  <c r="C29" i="9"/>
  <c r="B26" i="9"/>
  <c r="A26" i="9"/>
  <c r="B25" i="9"/>
  <c r="A25" i="9"/>
  <c r="B24" i="9"/>
  <c r="A24" i="9"/>
  <c r="B23" i="9"/>
  <c r="A23" i="9"/>
  <c r="B21" i="9"/>
  <c r="B29" i="9" s="1"/>
  <c r="A21" i="9"/>
  <c r="A29" i="9" s="1"/>
  <c r="B20" i="9"/>
  <c r="A20" i="9"/>
  <c r="A19" i="9"/>
  <c r="A18" i="9"/>
  <c r="B17" i="9"/>
  <c r="A17" i="9"/>
  <c r="B16" i="9"/>
  <c r="A16" i="9"/>
  <c r="A15" i="9"/>
  <c r="F12" i="5"/>
  <c r="M55" i="18"/>
  <c r="M49" i="18"/>
  <c r="M43" i="18"/>
  <c r="M37" i="18"/>
  <c r="M31" i="18"/>
  <c r="M25" i="18"/>
  <c r="M19" i="18"/>
  <c r="L55" i="18"/>
  <c r="L49" i="18"/>
  <c r="L43" i="18"/>
  <c r="L37" i="18"/>
  <c r="L31" i="18"/>
  <c r="L25" i="18"/>
  <c r="L19" i="18"/>
  <c r="K55" i="18"/>
  <c r="K49" i="18"/>
  <c r="K43" i="18"/>
  <c r="K37" i="18"/>
  <c r="K31" i="18"/>
  <c r="K25" i="18"/>
  <c r="K19" i="18"/>
  <c r="J49" i="18"/>
  <c r="J43" i="18"/>
  <c r="J37" i="18"/>
  <c r="J25" i="18"/>
  <c r="J19" i="18"/>
  <c r="I55" i="18"/>
  <c r="I49" i="18"/>
  <c r="I43" i="18"/>
  <c r="I37" i="18"/>
  <c r="I31" i="18"/>
  <c r="I25" i="18"/>
  <c r="I19" i="18"/>
  <c r="H55" i="18"/>
  <c r="H49" i="18"/>
  <c r="H43" i="18"/>
  <c r="H37" i="18"/>
  <c r="H31" i="18"/>
  <c r="H25" i="18"/>
  <c r="H19" i="18"/>
  <c r="B45" i="18"/>
  <c r="B45" i="39" s="1"/>
  <c r="B39" i="18"/>
  <c r="B39" i="39" s="1"/>
  <c r="B33" i="18"/>
  <c r="B33" i="39" s="1"/>
  <c r="B21" i="18"/>
  <c r="B21" i="39" s="1"/>
  <c r="B56" i="18"/>
  <c r="B56" i="39" s="1"/>
  <c r="B50" i="18"/>
  <c r="B50" i="39" s="1"/>
  <c r="B44" i="18"/>
  <c r="B44" i="39" s="1"/>
  <c r="B38" i="18"/>
  <c r="B38" i="39" s="1"/>
  <c r="B32" i="18"/>
  <c r="B32" i="39" s="1"/>
  <c r="B26" i="18"/>
  <c r="B26" i="39" s="1"/>
  <c r="B20" i="18"/>
  <c r="B20" i="39" s="1"/>
  <c r="B55" i="18"/>
  <c r="B49" i="18"/>
  <c r="B43" i="18"/>
  <c r="B37" i="18"/>
  <c r="B31" i="18"/>
  <c r="B25" i="18"/>
  <c r="B19" i="18"/>
  <c r="B19" i="39" s="1"/>
  <c r="B16" i="18"/>
  <c r="A55" i="18"/>
  <c r="A55" i="39" s="1"/>
  <c r="A49" i="18"/>
  <c r="A49" i="39" s="1"/>
  <c r="A43" i="18"/>
  <c r="A43" i="39" s="1"/>
  <c r="A37" i="18"/>
  <c r="A37" i="39" s="1"/>
  <c r="A31" i="18"/>
  <c r="A31" i="39" s="1"/>
  <c r="A25" i="18"/>
  <c r="A25" i="39" s="1"/>
  <c r="A19" i="18"/>
  <c r="A19" i="39" s="1"/>
  <c r="F15" i="5" l="1"/>
  <c r="H12" i="39" s="1"/>
  <c r="H11" i="39"/>
  <c r="J55" i="18"/>
  <c r="J31" i="18"/>
  <c r="N27" i="18"/>
  <c r="N39" i="18"/>
  <c r="N51" i="18"/>
  <c r="N21" i="18"/>
  <c r="N33" i="18"/>
  <c r="N45" i="18"/>
  <c r="N57" i="18"/>
  <c r="F11" i="18"/>
  <c r="C30" i="16"/>
  <c r="C30" i="13"/>
  <c r="C30" i="12"/>
  <c r="C30" i="9"/>
  <c r="C30" i="22"/>
  <c r="C30" i="21"/>
  <c r="C30" i="17"/>
  <c r="C30" i="15"/>
  <c r="E20" i="5"/>
  <c r="F6" i="5" l="1"/>
  <c r="F20" i="5" s="1"/>
  <c r="G20" i="5" l="1"/>
  <c r="C23" i="12" s="1"/>
  <c r="D25" i="39" s="1"/>
  <c r="H13" i="39"/>
  <c r="F12" i="18"/>
  <c r="C25" i="12" l="1"/>
  <c r="F25" i="39" s="1"/>
  <c r="C24" i="12"/>
  <c r="E25" i="39" s="1"/>
  <c r="F13" i="18"/>
  <c r="C26" i="16"/>
  <c r="C26" i="17"/>
  <c r="G43" i="39" s="1"/>
  <c r="C26" i="9"/>
  <c r="G19" i="39" s="1"/>
  <c r="C26" i="13"/>
  <c r="G31" i="39" s="1"/>
  <c r="C26" i="15"/>
  <c r="G37" i="39" s="1"/>
  <c r="C26" i="22"/>
  <c r="G55" i="39" s="1"/>
  <c r="C26" i="12"/>
  <c r="G25" i="39" s="1"/>
  <c r="G25" i="18" l="1"/>
  <c r="G37" i="18"/>
  <c r="G19" i="18"/>
  <c r="G55" i="18"/>
  <c r="G31" i="18"/>
  <c r="G43" i="18"/>
  <c r="C23" i="21"/>
  <c r="D49" i="39" s="1"/>
  <c r="C23" i="13"/>
  <c r="D31" i="39" s="1"/>
  <c r="C23" i="9"/>
  <c r="D19" i="39" s="1"/>
  <c r="C23" i="22"/>
  <c r="D55" i="39" s="1"/>
  <c r="C23" i="16"/>
  <c r="C23" i="17"/>
  <c r="D43" i="39" s="1"/>
  <c r="C23" i="15"/>
  <c r="D37" i="39" s="1"/>
  <c r="C24" i="15" l="1"/>
  <c r="E37" i="39" s="1"/>
  <c r="D37" i="18"/>
  <c r="C25" i="15"/>
  <c r="F37" i="39" s="1"/>
  <c r="C25" i="16"/>
  <c r="C24" i="16"/>
  <c r="C24" i="9"/>
  <c r="E19" i="39" s="1"/>
  <c r="D19" i="18"/>
  <c r="C25" i="9"/>
  <c r="F19" i="39" s="1"/>
  <c r="D25" i="18"/>
  <c r="C25" i="17"/>
  <c r="F43" i="39" s="1"/>
  <c r="D43" i="18"/>
  <c r="C24" i="17"/>
  <c r="E43" i="39" s="1"/>
  <c r="C25" i="22"/>
  <c r="F55" i="39" s="1"/>
  <c r="D55" i="18"/>
  <c r="C24" i="22"/>
  <c r="E55" i="39" s="1"/>
  <c r="C24" i="13"/>
  <c r="E31" i="39" s="1"/>
  <c r="D31" i="18"/>
  <c r="C25" i="13"/>
  <c r="F31" i="39" s="1"/>
  <c r="C25" i="21"/>
  <c r="F49" i="39" s="1"/>
  <c r="D49" i="18"/>
  <c r="C24" i="21"/>
  <c r="E49" i="39" s="1"/>
  <c r="F43" i="18" l="1"/>
  <c r="E25" i="18"/>
  <c r="F19" i="18"/>
  <c r="E19" i="18"/>
  <c r="F31" i="18"/>
  <c r="E31" i="18"/>
  <c r="E43" i="18"/>
  <c r="E49" i="18"/>
  <c r="F49" i="18"/>
  <c r="E55" i="18"/>
  <c r="F55" i="18"/>
  <c r="F25" i="18"/>
  <c r="F37" i="18"/>
  <c r="E37" i="18"/>
  <c r="A30" i="21" l="1"/>
  <c r="A30" i="9"/>
  <c r="A30" i="12"/>
  <c r="A30" i="16"/>
  <c r="A30" i="13"/>
  <c r="A30" i="22"/>
  <c r="A30" i="17"/>
  <c r="A30" i="15"/>
  <c r="N22" i="18"/>
  <c r="N40" i="18" s="1"/>
  <c r="N58" i="18" l="1"/>
  <c r="N34" i="18"/>
  <c r="N46" i="18"/>
  <c r="N52" i="18"/>
  <c r="N28" i="18"/>
</calcChain>
</file>

<file path=xl/sharedStrings.xml><?xml version="1.0" encoding="utf-8"?>
<sst xmlns="http://schemas.openxmlformats.org/spreadsheetml/2006/main" count="301" uniqueCount="206">
  <si>
    <t>A Bohrung</t>
  </si>
  <si>
    <t>=</t>
  </si>
  <si>
    <t>D2*Pi/4</t>
  </si>
  <si>
    <t>V Bohrung</t>
  </si>
  <si>
    <t>A Rohr</t>
  </si>
  <si>
    <t>V Rohr</t>
  </si>
  <si>
    <t>V Bohrung brutto</t>
  </si>
  <si>
    <t>[l]</t>
  </si>
  <si>
    <t>[kg]</t>
  </si>
  <si>
    <t>Gewicht/Sack</t>
  </si>
  <si>
    <t>Suspensionsdichte</t>
  </si>
  <si>
    <t>[Stk]</t>
  </si>
  <si>
    <t>netto*)</t>
  </si>
  <si>
    <t>Suspensions-</t>
  </si>
  <si>
    <t>Menge</t>
  </si>
  <si>
    <t>http://www.schwenk-zement.de/aktuelles/broschueren-infomaterial/Produkte/Spezialbindemittel/Fuellbinder_EWM/SWZ_TM_Fuellbinder_EWM.pdf</t>
  </si>
  <si>
    <t>Querschnitte</t>
  </si>
  <si>
    <t>Volumina</t>
  </si>
  <si>
    <t>[l/kg]</t>
  </si>
  <si>
    <t>[kg/m3]</t>
  </si>
  <si>
    <t>Suspensionsmenge</t>
  </si>
  <si>
    <t>Wärmeleitfähigkeit</t>
  </si>
  <si>
    <t>Zugabemenge Wasser</t>
  </si>
  <si>
    <t>erdsondenoptimerung.ch</t>
  </si>
  <si>
    <t>Hersteller</t>
  </si>
  <si>
    <t>Frostschutz</t>
  </si>
  <si>
    <t>ja</t>
  </si>
  <si>
    <t>Minimal notwendiger Prüfdruck</t>
  </si>
  <si>
    <t>[bar]</t>
  </si>
  <si>
    <t>http://www.schwenk-zement.de/produkte/spezialbindemittel.php</t>
  </si>
  <si>
    <t>2) Technisches Merkblatt Füllbinder EWM</t>
  </si>
  <si>
    <t>Quelle 2, Tabelle</t>
  </si>
  <si>
    <t>Quelle 2, Tabelle: "17,5 l / 25 kg Sack"</t>
  </si>
  <si>
    <t>Quelle 2, Seite 1, über Tabelle, "Technische Daten"</t>
  </si>
  <si>
    <t>Quelle 2, Seite 1,  Mitte: "Der Frostwiderstand von Schwenk Füllbinder® EWM wurde nach DIN 52104-A geprüft. Schwenk Füllbinder® EWM weist gegenüber herkömmlichen Rezepturen eine deutlich bessere Frostbeständigkeit auf."</t>
  </si>
  <si>
    <t>Säcke</t>
  </si>
  <si>
    <t>EWM Füllbinder</t>
  </si>
  <si>
    <t>Quelle 3, Kapitel 4.1, Mitte</t>
  </si>
  <si>
    <t>Quelle 3, Kapitel 4.1, Mitte: "25 kg ThermoCem x 0,8 = 20 Liter Wasser"</t>
  </si>
  <si>
    <t>Quelle 4, Seite 1, Mitte</t>
  </si>
  <si>
    <r>
      <rPr>
        <sz val="10"/>
        <color indexed="8"/>
        <rFont val="Symbol"/>
        <family val="1"/>
        <charset val="2"/>
      </rPr>
      <t>»</t>
    </r>
    <r>
      <rPr>
        <sz val="10"/>
        <color theme="1"/>
        <rFont val="Arial"/>
        <family val="2"/>
      </rPr>
      <t xml:space="preserve"> 2.0</t>
    </r>
  </si>
  <si>
    <t>Quelle 2, Seite 4, Mitte, "Hoher Widerstand gegen Frost-Tau-Wechsel"</t>
  </si>
  <si>
    <t>http://www.heidelbergcement.com/NR/rdonlyres/E0B50CAE-F739-42F2-87E0-390C68F3D296/0/TM_365_ThermoCem_PLUS.pdf</t>
  </si>
  <si>
    <t>4) Technisches Merkblatt</t>
  </si>
  <si>
    <t>http://www.heidelbergcement.com/NR/rdonlyres/7CD69AE8-91E4-4122-8D1C-FE9DC8859E9A/0/04Verarbeitungshinweise.pdf</t>
  </si>
  <si>
    <t>3) Dokument Verabeitungshinweise</t>
  </si>
  <si>
    <t>http://www.heidelbergcement.com/NR/rdonlyres/ED2F3D81-F9DA-43C0-A39B-40FA5AD7853B/0/ThermoCemPLUS_Prospekt_4S_de.pdf</t>
  </si>
  <si>
    <t>2) Thermocem Plus Prospekt</t>
  </si>
  <si>
    <t>http://www.heidelbergcement.com/de/de/geotechnik/produkte/thermocem/index.htm</t>
  </si>
  <si>
    <t>1) Webseite ThermoCem Plus</t>
  </si>
  <si>
    <r>
      <t xml:space="preserve">Quellen: </t>
    </r>
    <r>
      <rPr>
        <sz val="10"/>
        <color indexed="17"/>
        <rFont val="Arial"/>
        <family val="2"/>
      </rPr>
      <t>www.thermocem.de</t>
    </r>
  </si>
  <si>
    <t>ThermoCem Plus</t>
  </si>
  <si>
    <t>Quelle 2, Seite 5 unten: "1 m3 Verpressmaterial = 1032 kg Calidutherm"</t>
  </si>
  <si>
    <t>Quelle 2, Seite 5 unten: "Rohdichte …: 1,65 kg/dm3"</t>
  </si>
  <si>
    <t>Quelle 2, Seite 1, mitte</t>
  </si>
  <si>
    <t>Quelle 2, Seite 5 unten: "Mischverhältnis Wasser: Calidutherm"</t>
  </si>
  <si>
    <t>Quelle 2, Seite 3, mitte</t>
  </si>
  <si>
    <t>ca. 2</t>
  </si>
  <si>
    <t>Quelle 2, Seite 2, oben: "der enthaltene Anteil an Hochofenzement ...
macht Calidutherm® … frostbeständig 
bis ca. -15 °C und erfüllt damit eine wesentliche Forderung der VDI 4640"</t>
  </si>
  <si>
    <t>http://www.terra-calidus.de/media/produkte/verpressmittel/pdf/Technisches%20Datenblatt%20%20Calidutherm%20090209.pdf</t>
  </si>
  <si>
    <t>http://www.terra-calidus.de/pages/de/produkte/verpressmaterial/caliduthermr.php</t>
  </si>
  <si>
    <t>1) Calidutherm Downloads</t>
  </si>
  <si>
    <t>Callidutherm</t>
  </si>
  <si>
    <t>2) Technisches Datenblatt Master</t>
  </si>
  <si>
    <t>http://www.hdg-umwelttechnik.com/de/produkte/beitraege/verpressmaterial.php</t>
  </si>
  <si>
    <t>http://www.hdg-umwelttechnik.com/de/pdf/verpressmaterialien/HDG-Thermo-Datenblatt-0310.pdf</t>
  </si>
  <si>
    <t>keine Angaben</t>
  </si>
  <si>
    <t>2) Technisches Datenblatt HDG Thermo HS</t>
  </si>
  <si>
    <t>Quelle 2, Seite 1 unten: "Frostsicherheit gegeben"</t>
  </si>
  <si>
    <t>&gt;= 2</t>
  </si>
  <si>
    <t>Quelle 2, Seite 1 unten: "Wärmeleitfähigkeit mit Flächensonde"</t>
  </si>
  <si>
    <t>Quelle 2, Seite 1 mitte: "Ergiebigkeit ca. 1,25 kg/l Hohlraum …"</t>
  </si>
  <si>
    <t>Quelle 2, Seite 1 mitte: "Dichte der pumpfähigen Mischung ca. 1,79 kg/dm3)</t>
  </si>
  <si>
    <t>Quelle 2, Seite 1 mitte: "Wasser/Feststoffverhältnis ca. 044"</t>
  </si>
  <si>
    <t>http://www.ankertechnik.ch/dokumente/injektionstechnik_moertel.pdf</t>
  </si>
  <si>
    <t>nein</t>
  </si>
  <si>
    <t>K-Injekt-Therm</t>
  </si>
  <si>
    <t>0.9-1</t>
  </si>
  <si>
    <t>Quelle 2: Tabelle "Technische Daten"</t>
  </si>
  <si>
    <t>Quelle 2, oben: "Lieferung"</t>
  </si>
  <si>
    <t>Quelle 2: Tabelle "Technische Daten", Schüttdichte"</t>
  </si>
  <si>
    <t>Quelle 2: Tabelle "Technische Daten", Schüttdichte", Wasserbeigabe: Sack: 15 l / Sack (25 kg)</t>
  </si>
  <si>
    <t>http://www.mapei-betontechnik.at/0uploads/dateien270.pdf</t>
  </si>
  <si>
    <t>http://www.mapei-betontechnik.at/index.php?seitenId=4</t>
  </si>
  <si>
    <t>Quelle 2, Seite 47, Technische Daten</t>
  </si>
  <si>
    <t>Duritherm Plus</t>
  </si>
  <si>
    <t>&gt; 2</t>
  </si>
  <si>
    <t>Quelle 2, Seite 47, Verarbeitung, Ergiebigkeit: 1'200 kg/m3 Suspension (ca. 600 l Wasser)</t>
  </si>
  <si>
    <t>Quelle 2, Seite 47, Verarbeitung, Mischverhältnis</t>
  </si>
  <si>
    <t>Quelle 2, Seite 47, Technische Daten, Frostbeständig: nach ÖWAV RB 207</t>
  </si>
  <si>
    <t>Stüwapress F-10</t>
  </si>
  <si>
    <t>HDG</t>
  </si>
  <si>
    <t>[Wm.K]</t>
  </si>
  <si>
    <t>spez. Suspensionsmenge</t>
  </si>
  <si>
    <t>Quelle 3 Kapitel 4.1, Tabelle: 124 l /100 kg Thermocem</t>
  </si>
  <si>
    <t>Feststoff-Menge</t>
  </si>
  <si>
    <t>(Susp.menge [l]/Feststoff-Menge [kg])</t>
  </si>
  <si>
    <t>Bohrlochvolumen</t>
  </si>
  <si>
    <t>aus SIA 384/6, Seite 34, Tabelle 4</t>
  </si>
  <si>
    <t xml:space="preserve">Quellen: </t>
  </si>
  <si>
    <t xml:space="preserve">1) Webseite </t>
  </si>
  <si>
    <t xml:space="preserve">1) Spezialbaustoffe &gt; Spezialbindemittel </t>
  </si>
  <si>
    <t>2) Prospekt</t>
  </si>
  <si>
    <t>2)Technisches Datenblatt Calidutherm</t>
  </si>
  <si>
    <t xml:space="preserve">1) HDG Umwelttechnik Downloads </t>
  </si>
  <si>
    <t>Hinweis: Quelle 2 dokumentiert auch 4 Injetktionsmörtel. Diese sind explizit "frostbeständig". K-Injekt-Therm hat keinen solchen Vermerk</t>
  </si>
  <si>
    <t>Quelle 2: Tabelle "Technische Daten" "Ergiebigkeit: 1 kg = 1 l/t"</t>
  </si>
  <si>
    <t xml:space="preserve"> </t>
  </si>
  <si>
    <t>Quelle 2, ganz unten</t>
  </si>
  <si>
    <t>Quelle 2, mitte: "Auf 1000 kg STÜWATHERM kommen ... 650 l Wasser."</t>
  </si>
  <si>
    <t>Quelle 2, mitte: "Folgende Mischungsempfehlung ergibt 1 m³ verpressbare Suspension. Auf 1000 kg STÜWATHERM ..."</t>
  </si>
  <si>
    <t>Quelle 2, oben</t>
  </si>
  <si>
    <t>Quelle 1, Tabelle: Frostbeständigkeit</t>
  </si>
  <si>
    <t>mittel</t>
  </si>
  <si>
    <t>http://www.stuewa.de/produkte/pdf/STUEWATHERM_DATENBLATT_041202.pdf</t>
  </si>
  <si>
    <t>2) Technisches Datenblatt Stüwatherm</t>
  </si>
  <si>
    <t>http://www.stuewa.de/produkte/verpressmaterialien.shtml</t>
  </si>
  <si>
    <t>StüwathermZ</t>
  </si>
  <si>
    <t>Annahme</t>
  </si>
  <si>
    <t>Quelle 2, ganz unten: "Empfohlene Mischung pro m³ Suspension: 1088 kg STÜWAPRESS F-10 ..."</t>
  </si>
  <si>
    <t>hoch</t>
  </si>
  <si>
    <t>http://www.stuewa.de/produkte/pdf/stuewapress_f-10_08-2010.pdf</t>
  </si>
  <si>
    <t xml:space="preserve">1) Verpressmaterialien </t>
  </si>
  <si>
    <t># Rohre</t>
  </si>
  <si>
    <t>Baustoffe für Geotechnik</t>
  </si>
  <si>
    <t>HeidelbergCement</t>
  </si>
  <si>
    <t xml:space="preserve">D-59320 Ennigerloh </t>
  </si>
  <si>
    <t>Schwenk Zement KG</t>
  </si>
  <si>
    <t>D-89028 Ulm/Donau</t>
  </si>
  <si>
    <t>Terra Calidus GmbH, D-07546 Gera</t>
  </si>
  <si>
    <t xml:space="preserve">D-07778 Dorndorf </t>
  </si>
  <si>
    <t>dornburger zement GmbH &amp; Co.</t>
  </si>
  <si>
    <t>Stolzenseeweg 1</t>
  </si>
  <si>
    <t>HDG Umelttechnik GmbH</t>
  </si>
  <si>
    <t>D-88353 Kisslegg</t>
  </si>
  <si>
    <t>Schlundmatt 30</t>
  </si>
  <si>
    <t>Küchler Technik AG</t>
  </si>
  <si>
    <t>6010 Kriens</t>
  </si>
  <si>
    <t>Mapei Betontechnik GmbH</t>
  </si>
  <si>
    <t>A-8665 Langenwang</t>
  </si>
  <si>
    <t>Grazer Strasse 80</t>
  </si>
  <si>
    <t>STÜWA Konrad Stükerjürgen GmbH</t>
  </si>
  <si>
    <t>D-33397 Rietberg - Varensell</t>
  </si>
  <si>
    <t>Markenname</t>
  </si>
  <si>
    <t>www.heidelbergcement.de</t>
  </si>
  <si>
    <t>www.schwenk-zement.de</t>
  </si>
  <si>
    <t>www.terra-calidus.de</t>
  </si>
  <si>
    <t>www.hdg-umwelttechnik.com</t>
  </si>
  <si>
    <t>www.ankertechnik.ch</t>
  </si>
  <si>
    <t>www.mapei-betontechnik.at</t>
  </si>
  <si>
    <t>www.stuewa.de</t>
  </si>
  <si>
    <t>Prospekt</t>
  </si>
  <si>
    <t>BTD Borhrtechnik AG</t>
  </si>
  <si>
    <t>Marcel Dell' Anna</t>
  </si>
  <si>
    <t>San Giacum 21</t>
  </si>
  <si>
    <t>7412 Scharans</t>
  </si>
  <si>
    <t>081 651 02 60</t>
  </si>
  <si>
    <t>Geocem Swiss GmbH</t>
  </si>
  <si>
    <t>Herr Cyrill Schmid</t>
  </si>
  <si>
    <t>Hotzestrasse 61</t>
  </si>
  <si>
    <t>8006 Zürich</t>
  </si>
  <si>
    <t>www.btd-bohrtechnik.ch</t>
  </si>
  <si>
    <t>Lieferung direkt aus D</t>
  </si>
  <si>
    <t>Lager in Muri (BE)</t>
  </si>
  <si>
    <t>Kontakt: Olaf Wixforth</t>
  </si>
  <si>
    <t>Kontakt: Hauptnummer</t>
  </si>
  <si>
    <t>Lieferung aus AT</t>
  </si>
  <si>
    <t>Kontakt: mapei.ch</t>
  </si>
  <si>
    <t>Herr M. Barletta, Zürich</t>
  </si>
  <si>
    <t>079 776 99 47</t>
  </si>
  <si>
    <t>Bohrlochvolumen und Hinterfüllmaterial-Mengen (Fertigmischungen, trocken)</t>
  </si>
  <si>
    <t>Eingabefeld</t>
  </si>
  <si>
    <t>Ausgabefeld (Berechnung)</t>
  </si>
  <si>
    <t>Anzahl Bohrungen</t>
  </si>
  <si>
    <t>Durchmesser der Bohrung</t>
  </si>
  <si>
    <t>Tiefe der Bohrung</t>
  </si>
  <si>
    <t>mm</t>
  </si>
  <si>
    <t>m</t>
  </si>
  <si>
    <t>(= Anzahl der Erdwärmesonden)</t>
  </si>
  <si>
    <t>(Bohrunternehmer fragen, in Meter eingeben)</t>
  </si>
  <si>
    <t>(= Länge der Erdwärmesonden)</t>
  </si>
  <si>
    <t>(= Aussendurchmesser der Sonden-Rohre)</t>
  </si>
  <si>
    <t>A Bohrung * L Bohrung * # Bohrungen</t>
  </si>
  <si>
    <t>Durchmesser PE-Erdsondenrohr</t>
  </si>
  <si>
    <t>Kontakt</t>
  </si>
  <si>
    <t xml:space="preserve">Lieferant CH / </t>
  </si>
  <si>
    <t>Generalvertretung</t>
  </si>
  <si>
    <t>Liste für Berechnung Hfmengen, B 11</t>
  </si>
  <si>
    <t>V Bohrung netto</t>
  </si>
  <si>
    <t>m2</t>
  </si>
  <si>
    <t>m3</t>
  </si>
  <si>
    <t>bei 4 Rohren/Bohrung</t>
  </si>
  <si>
    <t xml:space="preserve">*) </t>
  </si>
  <si>
    <t>l</t>
  </si>
  <si>
    <t>Wasser- [l]/Feststoffwert [kg] (W/F-Wert)</t>
  </si>
  <si>
    <t>Tool - Bohrlochvolumen und Hinterfüllmaterial-Mengen (Fertigmischungen, trocken)</t>
  </si>
  <si>
    <t>Hinterfüllmaterial-Menge</t>
  </si>
  <si>
    <t>Die Tabelle enthält ausschliesslich Produkte mit Frostschutz und einer guten bis sehr guten Wärmeleitfähigkeit.</t>
  </si>
  <si>
    <t>Die Stoffwerte basieren auf den Katalog-Angaben der Hersteller.</t>
  </si>
  <si>
    <t>Das Werkzeug zur Berechnung von Bohrlochvolumen und Hinterfüllmaterial-Mengen richtet sich an Fachleute, die schnell und einfach die Materialmenge für eine Erdwärmesonde berechnen wollen.</t>
  </si>
  <si>
    <t>Über der Tabelle können Sie die Anzahl der Bohrungen, deren Durchmesser und Tiefe sowie den Durchmesser des Sondenrohres eingeben. Daraus werden einerseits der Bohrungsquerschnitt und die Bohrungsvolumina (brutto und netto) berechnet. Andererseits berechnet das Arbeitsblatt in der Tabelle die Materialmengen.</t>
  </si>
  <si>
    <t>Die Tabelle enthält ebenfalls die Katalogangaben der Hersteller. In Verbindung mit den Eingabewerten werden daraus die Materialmengen berechnet.</t>
  </si>
  <si>
    <t>www.erdsondenoptimierung.ch</t>
  </si>
  <si>
    <t>Die Tabelle liefert für empfehlenswerte Produkte die erforderlichen Hinterfüllmaterial-Mengen (in Kilogramm und in Anzahl Säcken à 25 Kilogramm), die Zugabemenge Wasser und schliesslich die Suspensionsmenge.</t>
  </si>
  <si>
    <t>Die Stoffwerte basieren auf den Katalog-Angaben der Hersteller. Die Tabelle enthält ausschliesslich Produkte mit Frostschutz und einer guten bis sehr guten Wärmeleitfähigkeit. Solche sind generell zu empfehlen.</t>
  </si>
  <si>
    <t>Wädenswil, September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</si>
</sst>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26" x14ac:knownFonts="1">
    <font>
      <sz val="10"/>
      <color theme="1"/>
      <name val="Arial"/>
      <family val="2"/>
    </font>
    <font>
      <b/>
      <sz val="10"/>
      <color theme="0"/>
      <name val="Arial"/>
      <family val="2"/>
    </font>
    <font>
      <b/>
      <sz val="10"/>
      <color theme="1"/>
      <name val="Arial"/>
      <family val="2"/>
    </font>
    <font>
      <sz val="10"/>
      <color theme="0"/>
      <name val="Arial"/>
      <family val="2"/>
    </font>
    <font>
      <b/>
      <sz val="10"/>
      <name val="Arial"/>
      <family val="2"/>
    </font>
    <font>
      <sz val="10"/>
      <name val="Arial"/>
      <family val="2"/>
    </font>
    <font>
      <u/>
      <sz val="10"/>
      <color theme="1"/>
      <name val="Arial"/>
      <family val="2"/>
    </font>
    <font>
      <u/>
      <sz val="10"/>
      <color theme="10"/>
      <name val="Arial"/>
      <family val="2"/>
    </font>
    <font>
      <sz val="10"/>
      <color indexed="17"/>
      <name val="Arial"/>
      <family val="2"/>
    </font>
    <font>
      <b/>
      <sz val="10"/>
      <color indexed="8"/>
      <name val="Arial"/>
      <family val="2"/>
    </font>
    <font>
      <b/>
      <sz val="10"/>
      <color indexed="9"/>
      <name val="Arial"/>
      <family val="2"/>
    </font>
    <font>
      <sz val="10"/>
      <color indexed="8"/>
      <name val="Symbol"/>
      <family val="1"/>
      <charset val="2"/>
    </font>
    <font>
      <u/>
      <sz val="10"/>
      <color indexed="12"/>
      <name val="Arial"/>
      <family val="2"/>
    </font>
    <font>
      <u/>
      <sz val="10"/>
      <color indexed="8"/>
      <name val="Arial"/>
      <family val="2"/>
    </font>
    <font>
      <strike/>
      <sz val="10"/>
      <color theme="1"/>
      <name val="Arial"/>
      <family val="2"/>
    </font>
    <font>
      <strike/>
      <u/>
      <sz val="10"/>
      <color theme="10"/>
      <name val="Arial"/>
      <family val="2"/>
    </font>
    <font>
      <sz val="10"/>
      <color rgb="FFFF0000"/>
      <name val="Arial"/>
      <family val="2"/>
    </font>
    <font>
      <sz val="10"/>
      <color indexed="8"/>
      <name val="Arial"/>
      <family val="2"/>
    </font>
    <font>
      <sz val="8"/>
      <name val="Arial"/>
      <family val="2"/>
    </font>
    <font>
      <sz val="8"/>
      <color theme="1"/>
      <name val="Arial"/>
      <family val="2"/>
    </font>
    <font>
      <sz val="10"/>
      <color theme="1"/>
      <name val="Symbol"/>
      <family val="1"/>
      <charset val="2"/>
    </font>
    <font>
      <sz val="11"/>
      <color theme="1"/>
      <name val="Arial"/>
      <family val="2"/>
    </font>
    <font>
      <b/>
      <sz val="11"/>
      <color theme="1"/>
      <name val="Arial"/>
      <family val="2"/>
    </font>
    <font>
      <sz val="14"/>
      <color theme="1"/>
      <name val="Arial"/>
      <family val="2"/>
    </font>
    <font>
      <b/>
      <sz val="14"/>
      <color theme="1"/>
      <name val="Arial"/>
      <family val="2"/>
    </font>
    <font>
      <u/>
      <sz val="14"/>
      <color theme="10"/>
      <name val="Arial"/>
      <family val="2"/>
    </font>
  </fonts>
  <fills count="9">
    <fill>
      <patternFill patternType="none"/>
    </fill>
    <fill>
      <patternFill patternType="gray125"/>
    </fill>
    <fill>
      <patternFill patternType="solid">
        <fgColor theme="3"/>
        <bgColor indexed="64"/>
      </patternFill>
    </fill>
    <fill>
      <patternFill patternType="solid">
        <fgColor rgb="FFCCFF99"/>
        <bgColor indexed="64"/>
      </patternFill>
    </fill>
    <fill>
      <patternFill patternType="solid">
        <fgColor rgb="FFCCECFF"/>
        <bgColor indexed="64"/>
      </patternFill>
    </fill>
    <fill>
      <patternFill patternType="solid">
        <fgColor indexed="56"/>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99FF99"/>
        <bgColor indexed="64"/>
      </patternFill>
    </fill>
  </fills>
  <borders count="9">
    <border>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83">
    <xf numFmtId="0" fontId="0" fillId="0" borderId="0" xfId="0"/>
    <xf numFmtId="164" fontId="0" fillId="0" borderId="0" xfId="0" applyNumberFormat="1"/>
    <xf numFmtId="0" fontId="3" fillId="2" borderId="0" xfId="0" applyFont="1" applyFill="1"/>
    <xf numFmtId="3" fontId="0" fillId="0" borderId="0" xfId="0" applyNumberFormat="1"/>
    <xf numFmtId="0" fontId="0" fillId="0" borderId="0" xfId="0" applyAlignment="1">
      <alignment horizontal="left" indent="1"/>
    </xf>
    <xf numFmtId="0" fontId="0" fillId="0" borderId="0" xfId="0" applyFont="1" applyFill="1"/>
    <xf numFmtId="0" fontId="2" fillId="0" borderId="0" xfId="0" applyFont="1" applyFill="1"/>
    <xf numFmtId="0" fontId="1" fillId="0" borderId="0" xfId="0" applyFont="1" applyFill="1" applyAlignment="1">
      <alignment horizontal="right"/>
    </xf>
    <xf numFmtId="0" fontId="0" fillId="0" borderId="0" xfId="0" applyFill="1"/>
    <xf numFmtId="3" fontId="0" fillId="0" borderId="0" xfId="0" applyNumberFormat="1" applyFill="1"/>
    <xf numFmtId="0" fontId="3" fillId="0" borderId="0" xfId="0" applyFont="1" applyFill="1" applyAlignment="1">
      <alignment horizontal="right"/>
    </xf>
    <xf numFmtId="0" fontId="0" fillId="0" borderId="0" xfId="0" applyAlignment="1">
      <alignment horizontal="center"/>
    </xf>
    <xf numFmtId="164" fontId="0" fillId="0" borderId="0" xfId="0" applyNumberFormat="1" applyFill="1"/>
    <xf numFmtId="0" fontId="3" fillId="2" borderId="0" xfId="0" applyFont="1" applyFill="1" applyAlignment="1">
      <alignment horizontal="center"/>
    </xf>
    <xf numFmtId="164" fontId="0" fillId="0" borderId="0" xfId="0" applyNumberFormat="1" applyAlignment="1">
      <alignment horizontal="right"/>
    </xf>
    <xf numFmtId="0" fontId="6" fillId="0" borderId="0" xfId="0" applyFont="1" applyBorder="1"/>
    <xf numFmtId="0" fontId="2" fillId="0" borderId="0" xfId="0" applyFont="1" applyBorder="1"/>
    <xf numFmtId="0" fontId="1" fillId="2" borderId="0" xfId="0" applyFont="1" applyFill="1" applyBorder="1"/>
    <xf numFmtId="0" fontId="1" fillId="2" borderId="0" xfId="0" applyFont="1" applyFill="1" applyBorder="1" applyAlignment="1">
      <alignment horizontal="center"/>
    </xf>
    <xf numFmtId="0" fontId="1" fillId="0" borderId="0" xfId="0" applyFont="1" applyFill="1" applyBorder="1"/>
    <xf numFmtId="0" fontId="5" fillId="0" borderId="0" xfId="0" applyFont="1" applyFill="1" applyBorder="1" applyAlignment="1">
      <alignment horizontal="left"/>
    </xf>
    <xf numFmtId="0" fontId="0" fillId="0" borderId="0" xfId="0" applyFont="1" applyBorder="1" applyAlignment="1">
      <alignment horizontal="center"/>
    </xf>
    <xf numFmtId="0" fontId="0" fillId="0" borderId="0" xfId="0" applyFont="1" applyBorder="1"/>
    <xf numFmtId="0" fontId="0" fillId="0" borderId="0" xfId="0" applyFont="1" applyBorder="1" applyAlignment="1">
      <alignment horizontal="left"/>
    </xf>
    <xf numFmtId="0" fontId="0" fillId="0" borderId="0" xfId="0" applyFont="1" applyFill="1" applyBorder="1"/>
    <xf numFmtId="0" fontId="0" fillId="0" borderId="0" xfId="0" applyFont="1" applyBorder="1" applyAlignment="1">
      <alignment horizontal="left" indent="1"/>
    </xf>
    <xf numFmtId="0" fontId="7" fillId="0" borderId="0" xfId="1" applyFont="1" applyBorder="1" applyProtection="1">
      <protection hidden="1"/>
    </xf>
    <xf numFmtId="0" fontId="0" fillId="0" borderId="0" xfId="0" applyFont="1" applyBorder="1" applyAlignment="1">
      <alignment horizontal="right"/>
    </xf>
    <xf numFmtId="1" fontId="0" fillId="0" borderId="0" xfId="0" applyNumberFormat="1" applyFont="1" applyBorder="1"/>
    <xf numFmtId="3" fontId="0" fillId="0" borderId="0" xfId="0" applyNumberFormat="1" applyFont="1" applyBorder="1"/>
    <xf numFmtId="0" fontId="0" fillId="0" borderId="0" xfId="0" applyFont="1" applyFill="1" applyBorder="1" applyAlignment="1">
      <alignment horizontal="right"/>
    </xf>
    <xf numFmtId="3" fontId="0" fillId="0" borderId="0" xfId="0" applyNumberFormat="1" applyFont="1" applyFill="1" applyBorder="1"/>
    <xf numFmtId="0" fontId="0" fillId="0" borderId="0" xfId="0" applyFont="1" applyBorder="1" applyAlignment="1"/>
    <xf numFmtId="164" fontId="0" fillId="0" borderId="0" xfId="0" applyNumberFormat="1" applyBorder="1"/>
    <xf numFmtId="0" fontId="0" fillId="0" borderId="0" xfId="0" applyBorder="1"/>
    <xf numFmtId="3" fontId="0" fillId="0" borderId="0" xfId="0" applyNumberFormat="1" applyBorder="1"/>
    <xf numFmtId="0" fontId="7" fillId="0" borderId="0" xfId="1" applyBorder="1" applyProtection="1">
      <protection hidden="1"/>
    </xf>
    <xf numFmtId="0" fontId="4" fillId="0" borderId="0" xfId="0" applyFont="1" applyFill="1" applyBorder="1" applyAlignment="1">
      <alignment horizontal="left"/>
    </xf>
    <xf numFmtId="0" fontId="6" fillId="0" borderId="0" xfId="0" applyFont="1" applyAlignment="1">
      <alignment horizontal="left"/>
    </xf>
    <xf numFmtId="0" fontId="2" fillId="0" borderId="0" xfId="0" applyFont="1" applyAlignment="1">
      <alignment horizontal="left"/>
    </xf>
    <xf numFmtId="0" fontId="1" fillId="2" borderId="0" xfId="0" applyFont="1" applyFill="1" applyAlignment="1">
      <alignment horizontal="left"/>
    </xf>
    <xf numFmtId="0" fontId="0" fillId="0" borderId="0" xfId="0" applyAlignment="1">
      <alignment horizontal="left"/>
    </xf>
    <xf numFmtId="0" fontId="8" fillId="0" borderId="0" xfId="0" applyFont="1" applyBorder="1"/>
    <xf numFmtId="164" fontId="0" fillId="0" borderId="0" xfId="0" applyNumberFormat="1" applyFont="1" applyBorder="1"/>
    <xf numFmtId="0" fontId="10" fillId="0" borderId="0" xfId="0" applyFont="1" applyFill="1" applyBorder="1"/>
    <xf numFmtId="0" fontId="12" fillId="0" borderId="0" xfId="1" applyFont="1" applyBorder="1" applyProtection="1">
      <protection hidden="1"/>
    </xf>
    <xf numFmtId="0" fontId="0" fillId="0" borderId="0" xfId="0" applyBorder="1" applyAlignment="1">
      <alignment horizontal="left"/>
    </xf>
    <xf numFmtId="0" fontId="10" fillId="5" borderId="0" xfId="0" applyFont="1" applyFill="1" applyBorder="1"/>
    <xf numFmtId="0" fontId="9" fillId="0" borderId="0" xfId="0" applyFont="1" applyBorder="1"/>
    <xf numFmtId="0" fontId="13" fillId="0" borderId="0" xfId="0" applyFont="1" applyBorder="1"/>
    <xf numFmtId="0" fontId="14" fillId="0" borderId="0" xfId="0" applyFont="1" applyBorder="1" applyAlignment="1">
      <alignment horizontal="left" indent="1"/>
    </xf>
    <xf numFmtId="0" fontId="15" fillId="0" borderId="0" xfId="1" applyFont="1" applyBorder="1" applyProtection="1">
      <protection hidden="1"/>
    </xf>
    <xf numFmtId="0" fontId="16" fillId="0" borderId="0" xfId="1" applyFont="1" applyBorder="1" applyProtection="1">
      <protection hidden="1"/>
    </xf>
    <xf numFmtId="0" fontId="0" fillId="0" borderId="0" xfId="0" applyFill="1" applyBorder="1"/>
    <xf numFmtId="1" fontId="0" fillId="0" borderId="0" xfId="0" applyNumberFormat="1" applyFont="1" applyBorder="1" applyAlignment="1">
      <alignment horizontal="right"/>
    </xf>
    <xf numFmtId="0" fontId="0" fillId="0" borderId="0" xfId="0" applyFill="1" applyAlignment="1">
      <alignment horizontal="left" indent="2"/>
    </xf>
    <xf numFmtId="165" fontId="0" fillId="0" borderId="0" xfId="0" applyNumberFormat="1" applyFill="1"/>
    <xf numFmtId="0" fontId="0" fillId="0" borderId="1" xfId="0" applyBorder="1"/>
    <xf numFmtId="0" fontId="5" fillId="0" borderId="0" xfId="0" applyFont="1" applyBorder="1" applyAlignment="1">
      <alignment horizontal="left"/>
    </xf>
    <xf numFmtId="0" fontId="0" fillId="0" borderId="0" xfId="0" applyAlignment="1">
      <alignment horizontal="right"/>
    </xf>
    <xf numFmtId="0" fontId="5" fillId="0" borderId="0" xfId="0" applyFont="1" applyFill="1" applyAlignment="1">
      <alignment horizontal="left"/>
    </xf>
    <xf numFmtId="0" fontId="0" fillId="6" borderId="0" xfId="0" applyFont="1" applyFill="1" applyBorder="1" applyAlignment="1">
      <alignment horizontal="left"/>
    </xf>
    <xf numFmtId="3" fontId="17" fillId="0" borderId="0" xfId="0" applyNumberFormat="1" applyFont="1" applyFill="1" applyBorder="1"/>
    <xf numFmtId="0" fontId="17" fillId="0" borderId="0" xfId="0" applyFont="1" applyFill="1" applyBorder="1" applyAlignment="1">
      <alignment horizontal="left" indent="1"/>
    </xf>
    <xf numFmtId="0" fontId="5" fillId="6" borderId="0" xfId="0" applyFont="1" applyFill="1" applyBorder="1" applyAlignment="1">
      <alignment horizontal="left"/>
    </xf>
    <xf numFmtId="0" fontId="0" fillId="6" borderId="0" xfId="0" applyFont="1" applyFill="1" applyBorder="1"/>
    <xf numFmtId="0" fontId="10" fillId="5" borderId="0" xfId="0" applyFont="1" applyFill="1" applyBorder="1" applyAlignment="1">
      <alignment horizontal="left"/>
    </xf>
    <xf numFmtId="0" fontId="0" fillId="0" borderId="0" xfId="0" applyFont="1" applyFill="1" applyBorder="1" applyAlignment="1">
      <alignment horizontal="left"/>
    </xf>
    <xf numFmtId="0" fontId="18" fillId="0" borderId="0" xfId="0" applyFont="1" applyFill="1" applyAlignment="1">
      <alignment horizontal="left" indent="1"/>
    </xf>
    <xf numFmtId="0" fontId="19" fillId="0" borderId="0" xfId="0" applyFont="1" applyBorder="1" applyAlignment="1">
      <alignment horizontal="left" indent="1"/>
    </xf>
    <xf numFmtId="0" fontId="19" fillId="0" borderId="0" xfId="0" applyFont="1" applyBorder="1" applyAlignment="1">
      <alignment horizontal="left"/>
    </xf>
    <xf numFmtId="3" fontId="19" fillId="0" borderId="0" xfId="0" applyNumberFormat="1" applyFont="1" applyBorder="1"/>
    <xf numFmtId="0" fontId="19" fillId="0" borderId="0" xfId="0" applyFont="1" applyBorder="1"/>
    <xf numFmtId="3" fontId="0" fillId="0" borderId="0" xfId="0" applyNumberFormat="1" applyFont="1" applyBorder="1" applyAlignment="1">
      <alignment horizontal="right"/>
    </xf>
    <xf numFmtId="0" fontId="0" fillId="6" borderId="0" xfId="0" applyFont="1" applyFill="1" applyBorder="1" applyAlignment="1">
      <alignment horizontal="center"/>
    </xf>
    <xf numFmtId="0" fontId="3" fillId="2" borderId="0" xfId="0" applyFont="1" applyFill="1" applyBorder="1"/>
    <xf numFmtId="0" fontId="19" fillId="0" borderId="0" xfId="0" applyFont="1" applyBorder="1" applyAlignment="1">
      <alignment horizontal="center"/>
    </xf>
    <xf numFmtId="3" fontId="19" fillId="0" borderId="0" xfId="0" applyNumberFormat="1" applyFont="1" applyBorder="1" applyAlignment="1">
      <alignment horizontal="right"/>
    </xf>
    <xf numFmtId="0" fontId="19" fillId="0" borderId="0" xfId="0" applyFont="1" applyBorder="1" applyAlignment="1"/>
    <xf numFmtId="164" fontId="0" fillId="0" borderId="0" xfId="0" applyNumberFormat="1" applyFont="1" applyBorder="1" applyAlignment="1">
      <alignment horizontal="right"/>
    </xf>
    <xf numFmtId="0" fontId="5" fillId="6" borderId="0" xfId="0" applyFont="1" applyFill="1" applyBorder="1" applyAlignment="1">
      <alignment horizontal="right"/>
    </xf>
    <xf numFmtId="164" fontId="5" fillId="0" borderId="0" xfId="0" applyNumberFormat="1" applyFont="1" applyBorder="1"/>
    <xf numFmtId="0" fontId="5" fillId="0" borderId="0" xfId="0" applyFont="1" applyBorder="1"/>
    <xf numFmtId="0" fontId="16" fillId="0" borderId="0" xfId="0" applyFont="1" applyBorder="1"/>
    <xf numFmtId="0" fontId="0" fillId="0" borderId="0" xfId="0" applyBorder="1" applyAlignment="1"/>
    <xf numFmtId="0" fontId="0" fillId="0" borderId="0" xfId="0" applyFill="1" applyAlignment="1">
      <alignment horizontal="left" indent="1"/>
    </xf>
    <xf numFmtId="0" fontId="0" fillId="0" borderId="0" xfId="0" applyFill="1" applyAlignment="1">
      <alignment horizontal="center"/>
    </xf>
    <xf numFmtId="0" fontId="0" fillId="0" borderId="0" xfId="0" applyBorder="1" applyAlignment="1">
      <alignment horizontal="left" indent="1"/>
    </xf>
    <xf numFmtId="0" fontId="5" fillId="0" borderId="0" xfId="0" applyFont="1" applyFill="1" applyBorder="1" applyAlignment="1">
      <alignment horizontal="left" indent="1"/>
    </xf>
    <xf numFmtId="0" fontId="7" fillId="0" borderId="0" xfId="1" applyBorder="1"/>
    <xf numFmtId="0" fontId="7" fillId="0" borderId="0" xfId="1" applyFill="1" applyAlignment="1">
      <alignment horizontal="left"/>
    </xf>
    <xf numFmtId="0" fontId="0" fillId="8" borderId="0" xfId="0" applyFill="1" applyAlignment="1">
      <alignment horizontal="center"/>
    </xf>
    <xf numFmtId="0" fontId="0" fillId="4" borderId="0" xfId="0" applyFill="1" applyAlignment="1">
      <alignment horizontal="center"/>
    </xf>
    <xf numFmtId="0" fontId="6" fillId="0" borderId="0" xfId="0" applyFont="1"/>
    <xf numFmtId="0" fontId="0" fillId="8" borderId="0" xfId="0" applyFill="1" applyProtection="1">
      <protection locked="0"/>
    </xf>
    <xf numFmtId="0" fontId="3" fillId="2" borderId="0" xfId="0" applyFont="1" applyFill="1" applyBorder="1" applyAlignment="1">
      <alignment horizontal="center"/>
    </xf>
    <xf numFmtId="0" fontId="1" fillId="2" borderId="2" xfId="0" applyFont="1" applyFill="1" applyBorder="1" applyAlignment="1">
      <alignment horizontal="left"/>
    </xf>
    <xf numFmtId="0" fontId="3" fillId="2" borderId="1" xfId="0" applyFont="1" applyFill="1" applyBorder="1" applyAlignment="1">
      <alignment horizontal="center"/>
    </xf>
    <xf numFmtId="0" fontId="4" fillId="7" borderId="3" xfId="0" applyFont="1" applyFill="1" applyBorder="1" applyAlignment="1">
      <alignment horizontal="left"/>
    </xf>
    <xf numFmtId="0" fontId="5" fillId="0" borderId="3" xfId="0" applyFont="1" applyBorder="1" applyAlignment="1">
      <alignment horizontal="left"/>
    </xf>
    <xf numFmtId="0" fontId="3" fillId="2" borderId="1" xfId="0" applyFont="1" applyFill="1" applyBorder="1" applyAlignment="1">
      <alignment horizontal="left"/>
    </xf>
    <xf numFmtId="0" fontId="5" fillId="2" borderId="1" xfId="0" applyFont="1" applyFill="1" applyBorder="1" applyAlignment="1">
      <alignment horizontal="left"/>
    </xf>
    <xf numFmtId="0" fontId="5" fillId="7" borderId="1" xfId="0" applyFont="1" applyFill="1" applyBorder="1" applyAlignment="1">
      <alignment horizontal="center"/>
    </xf>
    <xf numFmtId="0" fontId="20" fillId="7" borderId="1" xfId="0" applyFont="1" applyFill="1" applyBorder="1" applyAlignment="1">
      <alignment horizontal="center"/>
    </xf>
    <xf numFmtId="2" fontId="5" fillId="7" borderId="1" xfId="0" applyNumberFormat="1" applyFont="1" applyFill="1" applyBorder="1" applyAlignment="1">
      <alignment horizontal="center"/>
    </xf>
    <xf numFmtId="165" fontId="5" fillId="7" borderId="1" xfId="0" applyNumberFormat="1" applyFont="1" applyFill="1" applyBorder="1" applyAlignment="1">
      <alignment horizontal="center"/>
    </xf>
    <xf numFmtId="1" fontId="5" fillId="7" borderId="1" xfId="0" applyNumberFormat="1" applyFont="1" applyFill="1" applyBorder="1" applyAlignment="1">
      <alignment horizontal="center"/>
    </xf>
    <xf numFmtId="3" fontId="5" fillId="7" borderId="1" xfId="0" applyNumberFormat="1" applyFont="1" applyFill="1" applyBorder="1" applyAlignment="1">
      <alignment horizontal="center"/>
    </xf>
    <xf numFmtId="0" fontId="5" fillId="0" borderId="1" xfId="0" applyFont="1" applyFill="1" applyBorder="1" applyAlignment="1">
      <alignment horizontal="center"/>
    </xf>
    <xf numFmtId="0" fontId="0" fillId="7" borderId="1" xfId="0" applyFont="1" applyFill="1" applyBorder="1" applyAlignment="1">
      <alignment horizontal="center"/>
    </xf>
    <xf numFmtId="0" fontId="0" fillId="0" borderId="0" xfId="0" applyFont="1" applyAlignment="1">
      <alignment horizontal="left" vertical="top" indent="1"/>
    </xf>
    <xf numFmtId="0" fontId="5" fillId="0" borderId="0" xfId="0" applyFont="1" applyBorder="1" applyAlignment="1">
      <alignment horizontal="left" vertical="top" indent="1"/>
    </xf>
    <xf numFmtId="0" fontId="22" fillId="0" borderId="0" xfId="0" applyFont="1" applyAlignment="1">
      <alignment vertical="center"/>
    </xf>
    <xf numFmtId="0" fontId="21" fillId="0" borderId="0" xfId="0" applyFont="1" applyAlignment="1">
      <alignment horizontal="left" vertical="center" indent="1"/>
    </xf>
    <xf numFmtId="0" fontId="1" fillId="2" borderId="0" xfId="0" applyFont="1" applyFill="1" applyBorder="1" applyAlignment="1"/>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7" xfId="0" applyFont="1" applyFill="1" applyBorder="1" applyAlignment="1"/>
    <xf numFmtId="0" fontId="3" fillId="2" borderId="3" xfId="0" applyFont="1" applyFill="1" applyBorder="1" applyAlignment="1">
      <alignment horizontal="center"/>
    </xf>
    <xf numFmtId="0" fontId="4" fillId="7" borderId="0" xfId="0" applyFont="1" applyFill="1" applyBorder="1" applyAlignment="1">
      <alignment horizontal="left"/>
    </xf>
    <xf numFmtId="0" fontId="5" fillId="7" borderId="1" xfId="0" applyFont="1" applyFill="1" applyBorder="1" applyAlignment="1">
      <alignment horizontal="left"/>
    </xf>
    <xf numFmtId="0" fontId="5" fillId="0" borderId="1" xfId="0" applyFont="1" applyFill="1" applyBorder="1" applyAlignment="1">
      <alignment horizontal="left"/>
    </xf>
    <xf numFmtId="0" fontId="7" fillId="0" borderId="0" xfId="1" applyFill="1" applyBorder="1" applyAlignment="1">
      <alignment horizontal="left" indent="1"/>
    </xf>
    <xf numFmtId="0" fontId="5" fillId="7" borderId="0" xfId="0" applyFont="1" applyFill="1" applyBorder="1" applyAlignment="1">
      <alignment horizontal="left"/>
    </xf>
    <xf numFmtId="0" fontId="7" fillId="0" borderId="0" xfId="1" applyFill="1" applyBorder="1" applyAlignment="1">
      <alignment horizontal="left"/>
    </xf>
    <xf numFmtId="0" fontId="0" fillId="0" borderId="3" xfId="0" applyBorder="1" applyAlignment="1">
      <alignment horizontal="left"/>
    </xf>
    <xf numFmtId="0" fontId="0" fillId="0" borderId="0" xfId="0" applyBorder="1" applyAlignment="1">
      <alignment horizontal="center"/>
    </xf>
    <xf numFmtId="0" fontId="0" fillId="0" borderId="4" xfId="0" applyBorder="1" applyAlignment="1">
      <alignment horizontal="left"/>
    </xf>
    <xf numFmtId="0" fontId="0" fillId="0" borderId="8" xfId="0" applyBorder="1" applyAlignment="1">
      <alignment horizontal="center"/>
    </xf>
    <xf numFmtId="0" fontId="0" fillId="0" borderId="8" xfId="0" applyBorder="1"/>
    <xf numFmtId="0" fontId="0" fillId="0" borderId="5" xfId="0" applyBorder="1"/>
    <xf numFmtId="1" fontId="0" fillId="4" borderId="1" xfId="0" applyNumberFormat="1" applyFill="1" applyBorder="1" applyAlignment="1">
      <alignment horizontal="center"/>
    </xf>
    <xf numFmtId="0" fontId="18" fillId="0" borderId="1" xfId="0" applyFont="1" applyFill="1" applyBorder="1" applyAlignment="1">
      <alignment horizontal="left" indent="1"/>
    </xf>
    <xf numFmtId="0" fontId="19" fillId="0" borderId="1" xfId="0" applyFont="1" applyBorder="1" applyAlignment="1">
      <alignment horizontal="left" indent="1"/>
    </xf>
    <xf numFmtId="0" fontId="1" fillId="2" borderId="2" xfId="0" applyFont="1" applyFill="1" applyBorder="1" applyAlignment="1">
      <alignment horizontal="center"/>
    </xf>
    <xf numFmtId="0" fontId="5" fillId="2" borderId="1" xfId="0" applyFont="1" applyFill="1" applyBorder="1" applyAlignment="1">
      <alignment horizontal="center"/>
    </xf>
    <xf numFmtId="0" fontId="1" fillId="2" borderId="1" xfId="0" applyFont="1" applyFill="1" applyBorder="1" applyAlignment="1">
      <alignment horizontal="center"/>
    </xf>
    <xf numFmtId="0" fontId="0" fillId="0" borderId="1" xfId="0" applyBorder="1" applyAlignment="1">
      <alignment horizontal="right"/>
    </xf>
    <xf numFmtId="0" fontId="0" fillId="0" borderId="5" xfId="0" applyBorder="1" applyAlignment="1">
      <alignment horizontal="right"/>
    </xf>
    <xf numFmtId="0" fontId="0" fillId="0" borderId="8" xfId="0" applyBorder="1" applyAlignment="1">
      <alignment horizontal="left"/>
    </xf>
    <xf numFmtId="0" fontId="0" fillId="0" borderId="0" xfId="0" applyAlignment="1"/>
    <xf numFmtId="0" fontId="0" fillId="0" borderId="1" xfId="0" applyFont="1" applyFill="1" applyBorder="1"/>
    <xf numFmtId="0" fontId="2" fillId="0" borderId="0" xfId="0" applyFont="1" applyFill="1" applyAlignment="1">
      <alignment horizontal="right"/>
    </xf>
    <xf numFmtId="164" fontId="2" fillId="0" borderId="0" xfId="0" applyNumberFormat="1" applyFont="1" applyFill="1"/>
    <xf numFmtId="0" fontId="8" fillId="0" borderId="0" xfId="0" applyFont="1" applyFill="1" applyBorder="1"/>
    <xf numFmtId="0" fontId="17" fillId="0" borderId="0" xfId="0" applyFont="1" applyFill="1" applyBorder="1" applyAlignment="1">
      <alignment horizontal="left"/>
    </xf>
    <xf numFmtId="0" fontId="0" fillId="0" borderId="0" xfId="0" applyFont="1" applyFill="1" applyBorder="1" applyAlignment="1">
      <alignment horizontal="center"/>
    </xf>
    <xf numFmtId="3" fontId="0" fillId="0" borderId="0" xfId="0" applyNumberFormat="1" applyFill="1" applyBorder="1"/>
    <xf numFmtId="0" fontId="9" fillId="0" borderId="0" xfId="0" applyFont="1" applyFill="1" applyBorder="1" applyAlignment="1">
      <alignment horizontal="center"/>
    </xf>
    <xf numFmtId="0" fontId="0" fillId="0" borderId="0" xfId="0" applyFont="1" applyFill="1" applyBorder="1" applyAlignment="1"/>
    <xf numFmtId="3" fontId="0" fillId="0" borderId="0" xfId="0" applyNumberFormat="1" applyFill="1" applyBorder="1" applyAlignment="1">
      <alignment horizontal="right"/>
    </xf>
    <xf numFmtId="0" fontId="2" fillId="0" borderId="0" xfId="0" applyFont="1" applyFill="1" applyBorder="1" applyAlignment="1">
      <alignment horizontal="center"/>
    </xf>
    <xf numFmtId="0" fontId="16" fillId="0" borderId="0" xfId="1" applyFont="1" applyFill="1" applyBorder="1" applyProtection="1">
      <protection hidden="1"/>
    </xf>
    <xf numFmtId="0" fontId="5" fillId="0" borderId="0" xfId="0" applyFont="1" applyFill="1" applyBorder="1"/>
    <xf numFmtId="4" fontId="0" fillId="0" borderId="0" xfId="0" applyNumberFormat="1" applyFont="1" applyFill="1" applyBorder="1"/>
    <xf numFmtId="14" fontId="0" fillId="0" borderId="0" xfId="0" applyNumberFormat="1" applyFont="1" applyFill="1" applyBorder="1" applyAlignment="1">
      <alignment horizontal="left"/>
    </xf>
    <xf numFmtId="0" fontId="0" fillId="0" borderId="0" xfId="0" applyAlignment="1">
      <alignment horizontal="left"/>
    </xf>
    <xf numFmtId="3" fontId="5" fillId="4" borderId="1" xfId="0" applyNumberFormat="1" applyFont="1" applyFill="1" applyBorder="1" applyAlignment="1">
      <alignment horizontal="center"/>
    </xf>
    <xf numFmtId="1" fontId="0" fillId="3" borderId="1" xfId="0" applyNumberFormat="1" applyFill="1" applyBorder="1" applyAlignment="1">
      <alignment horizontal="center"/>
    </xf>
    <xf numFmtId="0" fontId="4" fillId="6" borderId="0" xfId="0" applyFont="1" applyFill="1" applyAlignment="1">
      <alignment horizontal="left"/>
    </xf>
    <xf numFmtId="0" fontId="2" fillId="6" borderId="0" xfId="0" applyFont="1" applyFill="1"/>
    <xf numFmtId="0" fontId="4" fillId="6" borderId="0" xfId="0" applyFont="1" applyFill="1" applyAlignment="1">
      <alignment horizontal="right"/>
    </xf>
    <xf numFmtId="0" fontId="5" fillId="6" borderId="0" xfId="0" applyFont="1" applyFill="1" applyAlignment="1">
      <alignment horizontal="left"/>
    </xf>
    <xf numFmtId="0" fontId="0" fillId="6" borderId="0" xfId="0" applyFont="1" applyFill="1"/>
    <xf numFmtId="0" fontId="5" fillId="6" borderId="0" xfId="0" applyFont="1" applyFill="1" applyAlignment="1">
      <alignment horizontal="right"/>
    </xf>
    <xf numFmtId="165" fontId="0" fillId="4" borderId="0" xfId="0" applyNumberFormat="1" applyFill="1"/>
    <xf numFmtId="164" fontId="0" fillId="4" borderId="0" xfId="0" applyNumberFormat="1" applyFill="1"/>
    <xf numFmtId="0" fontId="1" fillId="2" borderId="2" xfId="0" applyFont="1" applyFill="1" applyBorder="1" applyAlignment="1"/>
    <xf numFmtId="0" fontId="1" fillId="2" borderId="1" xfId="0" applyFont="1" applyFill="1" applyBorder="1" applyAlignment="1"/>
    <xf numFmtId="0" fontId="4" fillId="7" borderId="1" xfId="0" applyFont="1" applyFill="1" applyBorder="1" applyAlignment="1">
      <alignment horizontal="left"/>
    </xf>
    <xf numFmtId="0" fontId="5" fillId="0" borderId="1" xfId="0" applyFont="1" applyFill="1" applyBorder="1" applyAlignment="1">
      <alignment horizontal="left" indent="1"/>
    </xf>
    <xf numFmtId="0" fontId="7" fillId="0" borderId="1" xfId="1" applyFill="1" applyBorder="1" applyAlignment="1">
      <alignment horizontal="left"/>
    </xf>
    <xf numFmtId="0" fontId="0" fillId="0" borderId="1" xfId="0" applyBorder="1" applyAlignment="1">
      <alignment horizontal="center"/>
    </xf>
    <xf numFmtId="0" fontId="0" fillId="0" borderId="5" xfId="0" applyBorder="1" applyAlignment="1">
      <alignment horizontal="center"/>
    </xf>
    <xf numFmtId="0" fontId="23" fillId="0" borderId="0" xfId="0" applyFont="1" applyAlignment="1">
      <alignment horizontal="right" vertical="top" wrapText="1"/>
    </xf>
    <xf numFmtId="0" fontId="23" fillId="0" borderId="0" xfId="0" applyFont="1" applyAlignment="1">
      <alignment horizontal="left" vertical="top" wrapText="1"/>
    </xf>
    <xf numFmtId="0" fontId="24" fillId="0" borderId="0" xfId="0" applyFont="1" applyAlignment="1">
      <alignment horizontal="left" vertical="top" wrapText="1"/>
    </xf>
    <xf numFmtId="0" fontId="23" fillId="0" borderId="0" xfId="0" applyFont="1" applyAlignment="1">
      <alignment horizontal="left" vertical="top" wrapText="1" indent="1"/>
    </xf>
    <xf numFmtId="0" fontId="23" fillId="0" borderId="0" xfId="0" applyFont="1" applyAlignment="1">
      <alignment horizontal="left" indent="1"/>
    </xf>
    <xf numFmtId="0" fontId="25" fillId="0" borderId="0" xfId="1" applyFont="1" applyAlignment="1">
      <alignment horizontal="left" vertical="top" wrapText="1" indent="1"/>
    </xf>
    <xf numFmtId="0" fontId="0" fillId="0" borderId="0" xfId="0" applyFont="1" applyAlignment="1">
      <alignment horizontal="right" vertical="top" indent="1"/>
    </xf>
    <xf numFmtId="0" fontId="0" fillId="0" borderId="1" xfId="0" applyFont="1" applyFill="1" applyBorder="1"/>
    <xf numFmtId="0" fontId="0" fillId="0" borderId="0" xfId="0" applyFont="1" applyAlignment="1">
      <alignment horizontal="right" vertical="top"/>
    </xf>
  </cellXfs>
  <cellStyles count="2">
    <cellStyle name="Hyperlink" xfId="1" builtinId="8"/>
    <cellStyle name="Standard" xfId="0" builtinId="0"/>
  </cellStyles>
  <dxfs count="0"/>
  <tableStyles count="0" defaultTableStyle="TableStyleMedium2" defaultPivotStyle="PivotStyleLight16"/>
  <colors>
    <mruColors>
      <color rgb="FFCCECFF"/>
      <color rgb="FF99FF99"/>
      <color rgb="FFCCFF9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stuewa.de/" TargetMode="External"/><Relationship Id="rId1" Type="http://schemas.openxmlformats.org/officeDocument/2006/relationships/hyperlink" Target="http://www.stuewa.de/produkte/verpressmaterialien.s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stuewa.de/" TargetMode="External"/><Relationship Id="rId2" Type="http://schemas.openxmlformats.org/officeDocument/2006/relationships/hyperlink" Target="http://www.stuewa.de/produkte/pdf/stuewapress_f-10_08-2010.pdf" TargetMode="External"/><Relationship Id="rId1" Type="http://schemas.openxmlformats.org/officeDocument/2006/relationships/hyperlink" Target="http://www.stuewa.de/produkte/verpressmaterialien.shtml"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ankertechnik.ch/dokumente/injektionstechnik_moerte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td-bohrtechnik.c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heidelbergcement.com/NR/rdonlyres/ED2F3D81-F9DA-43C0-A39B-40FA5AD7853B/0/ThermoCemPLUS_Prospekt_4S_de.pdf" TargetMode="External"/><Relationship Id="rId2" Type="http://schemas.openxmlformats.org/officeDocument/2006/relationships/hyperlink" Target="http://www.heidelbergcement.com/NR/rdonlyres/E0B50CAE-F739-42F2-87E0-390C68F3D296/0/TM_365_ThermoCem_PLUS.pdf" TargetMode="External"/><Relationship Id="rId1" Type="http://schemas.openxmlformats.org/officeDocument/2006/relationships/hyperlink" Target="http://www.heidelbergcement.com/NR/rdonlyres/7CD69AE8-91E4-4122-8D1C-FE9DC8859E9A/0/04Verarbeitungshinweise.pdf" TargetMode="External"/><Relationship Id="rId6" Type="http://schemas.openxmlformats.org/officeDocument/2006/relationships/printerSettings" Target="../printerSettings/printerSettings5.bin"/><Relationship Id="rId5" Type="http://schemas.openxmlformats.org/officeDocument/2006/relationships/hyperlink" Target="http://www.heidelbergcement.de/" TargetMode="External"/><Relationship Id="rId4" Type="http://schemas.openxmlformats.org/officeDocument/2006/relationships/hyperlink" Target="http://www.heidelbergcement.com/de/de/geotechnik/produkte/thermocem/index.htm"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schwenk-zement.de/" TargetMode="External"/><Relationship Id="rId1" Type="http://schemas.openxmlformats.org/officeDocument/2006/relationships/hyperlink" Target="http://www.schwenk-zement.de/produkte/spezialbindemittel.ph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terra-calidus.de/pages/de/produkte/verpressmaterial/caliduthermr.php"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dg-umwelttechnik.com/" TargetMode="External"/><Relationship Id="rId1" Type="http://schemas.openxmlformats.org/officeDocument/2006/relationships/hyperlink" Target="http://www.hdg-umwelttechnik.com/de/produkte/beitraege/verpressmaterial.php"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apei-betontechnik.at/index.php?seitenId=4" TargetMode="External"/><Relationship Id="rId1" Type="http://schemas.openxmlformats.org/officeDocument/2006/relationships/hyperlink" Target="http://www.mapei-betontechnik.at/0uploads/dateien2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9"/>
  <sheetViews>
    <sheetView tabSelected="1" zoomScale="95" zoomScaleNormal="95" zoomScaleSheetLayoutView="226" workbookViewId="0">
      <pane xSplit="7" ySplit="18" topLeftCell="H19" activePane="bottomRight" state="frozen"/>
      <selection pane="topRight" activeCell="H1" sqref="H1"/>
      <selection pane="bottomLeft" activeCell="A19" sqref="A19"/>
      <selection pane="bottomRight" activeCell="I4" sqref="I4"/>
    </sheetView>
  </sheetViews>
  <sheetFormatPr baseColWidth="10" defaultColWidth="22.85546875" defaultRowHeight="12.75" x14ac:dyDescent="0.2"/>
  <cols>
    <col min="1" max="1" width="19.42578125" style="156" customWidth="1"/>
    <col min="2" max="2" width="35.7109375" style="11" customWidth="1"/>
    <col min="3" max="3" width="23.85546875" customWidth="1"/>
    <col min="4" max="4" width="25.5703125" customWidth="1"/>
    <col min="5" max="5" width="24.5703125" customWidth="1"/>
    <col min="6" max="6" width="15.140625" customWidth="1"/>
    <col min="7" max="7" width="22" bestFit="1" customWidth="1"/>
    <col min="8" max="8" width="34.5703125" style="59" bestFit="1" customWidth="1"/>
    <col min="9" max="9" width="22.7109375" customWidth="1"/>
    <col min="10" max="10" width="30.7109375" customWidth="1"/>
    <col min="11" max="11" width="45.28515625" customWidth="1"/>
    <col min="12" max="12" width="16.42578125" customWidth="1"/>
    <col min="13" max="13" width="22.85546875" customWidth="1"/>
  </cols>
  <sheetData>
    <row r="2" spans="1:16" x14ac:dyDescent="0.2">
      <c r="A2" s="93" t="str">
        <f>Summery!A2</f>
        <v>www.erdsondenoptimierung.ch</v>
      </c>
      <c r="B2"/>
      <c r="F2" s="59"/>
      <c r="H2"/>
    </row>
    <row r="3" spans="1:16" x14ac:dyDescent="0.2">
      <c r="A3" s="39" t="s">
        <v>195</v>
      </c>
    </row>
    <row r="5" spans="1:16" x14ac:dyDescent="0.2">
      <c r="A5" s="110" t="str">
        <f>Summery!A5</f>
        <v>Die Stoffwerte basieren auf den Katalog-Angaben der Hersteller.</v>
      </c>
    </row>
    <row r="6" spans="1:16" x14ac:dyDescent="0.2">
      <c r="A6" s="110" t="str">
        <f>Summery!A6</f>
        <v>Die Tabelle enthält ausschliesslich Produkte mit Frostschutz und einer guten bis sehr guten Wärmeleitfähigkeit.</v>
      </c>
    </row>
    <row r="7" spans="1:16" x14ac:dyDescent="0.2">
      <c r="A7" s="110"/>
    </row>
    <row r="8" spans="1:16" x14ac:dyDescent="0.2">
      <c r="A8" s="180" t="str">
        <f>Summery!A8</f>
        <v>Eingabefeld</v>
      </c>
      <c r="B8" s="180"/>
      <c r="C8" s="91"/>
    </row>
    <row r="9" spans="1:16" x14ac:dyDescent="0.2">
      <c r="A9" s="180" t="str">
        <f>Summery!A9</f>
        <v>Ausgabefeld (Berechnung)</v>
      </c>
      <c r="B9" s="180"/>
      <c r="C9" s="92"/>
    </row>
    <row r="10" spans="1:16" x14ac:dyDescent="0.2">
      <c r="A10" s="110"/>
      <c r="B10" s="59"/>
    </row>
    <row r="11" spans="1:16" x14ac:dyDescent="0.2">
      <c r="A11" s="182" t="str">
        <f>Summery!A11</f>
        <v>Anzahl Bohrungen</v>
      </c>
      <c r="B11" s="182"/>
      <c r="C11" s="94">
        <v>1</v>
      </c>
      <c r="D11" s="53"/>
      <c r="E11" s="181" t="str">
        <f>Summery!D11</f>
        <v>(= Anzahl der Erdwärmesonden)</v>
      </c>
      <c r="F11" s="181"/>
      <c r="G11" s="59" t="str">
        <f>Summery!E11</f>
        <v>A Bohrung</v>
      </c>
      <c r="H11" s="165">
        <f>Calc!F12</f>
        <v>1.1309733552923255E-2</v>
      </c>
      <c r="I11" s="34" t="str">
        <f>Summery!G11</f>
        <v>m2</v>
      </c>
      <c r="L11" s="59"/>
    </row>
    <row r="12" spans="1:16" x14ac:dyDescent="0.2">
      <c r="A12" s="182" t="str">
        <f>Summery!A12</f>
        <v>Durchmesser der Bohrung</v>
      </c>
      <c r="B12" s="182"/>
      <c r="C12" s="94">
        <v>0.12</v>
      </c>
      <c r="D12" s="53" t="str">
        <f>Calc!G8</f>
        <v>m</v>
      </c>
      <c r="E12" s="181" t="str">
        <f>Summery!D12</f>
        <v>(Bohrunternehmer fragen, in Meter eingeben)</v>
      </c>
      <c r="F12" s="181"/>
      <c r="G12" s="59" t="str">
        <f>Summery!E12</f>
        <v>V Bohrung brutto</v>
      </c>
      <c r="H12" s="165">
        <f>Calc!F15</f>
        <v>1.6964600329384882</v>
      </c>
      <c r="I12" s="34" t="str">
        <f>Summery!G12</f>
        <v>m3</v>
      </c>
      <c r="L12" s="59"/>
    </row>
    <row r="13" spans="1:16" x14ac:dyDescent="0.2">
      <c r="A13" s="182" t="str">
        <f>Summery!A13</f>
        <v>Tiefe der Bohrung</v>
      </c>
      <c r="B13" s="182"/>
      <c r="C13" s="94">
        <v>150</v>
      </c>
      <c r="D13" s="53" t="str">
        <f>Calc!G9</f>
        <v>m</v>
      </c>
      <c r="E13" s="181" t="str">
        <f>Summery!D13</f>
        <v>(= Länge der Erdwärmesonden)</v>
      </c>
      <c r="F13" s="181"/>
      <c r="G13" s="59" t="str">
        <f>Summery!E13</f>
        <v>V Bohrung netto</v>
      </c>
      <c r="H13" s="166">
        <f>Calc!F20</f>
        <v>0.94247779607693793</v>
      </c>
      <c r="I13" s="34" t="str">
        <f>Summery!G13</f>
        <v>m3</v>
      </c>
      <c r="L13" s="59"/>
      <c r="P13" s="12"/>
    </row>
    <row r="14" spans="1:16" x14ac:dyDescent="0.2">
      <c r="A14" s="182" t="str">
        <f>Summery!A14</f>
        <v>Durchmesser PE-Erdsondenrohr</v>
      </c>
      <c r="B14" s="182"/>
      <c r="C14" s="94">
        <v>40</v>
      </c>
      <c r="D14" s="8" t="s">
        <v>176</v>
      </c>
      <c r="E14" s="181" t="str">
        <f>Summery!D14</f>
        <v>(= Aussendurchmesser der Sonden-Rohre)</v>
      </c>
      <c r="F14" s="181"/>
      <c r="G14" s="59" t="str">
        <f>Summery!E14</f>
        <v>bei 4 Rohren/Bohrung</v>
      </c>
      <c r="H14" s="34"/>
      <c r="I14" s="55"/>
      <c r="K14" s="59"/>
      <c r="O14" s="12"/>
    </row>
    <row r="15" spans="1:16" s="60" customFormat="1" x14ac:dyDescent="0.2">
      <c r="A15" s="58"/>
      <c r="C15" s="90"/>
    </row>
    <row r="16" spans="1:16" s="60" customFormat="1" x14ac:dyDescent="0.2">
      <c r="A16" s="115" t="s">
        <v>143</v>
      </c>
      <c r="B16" s="96" t="str">
        <f>ThermoCem!A6</f>
        <v>Hersteller</v>
      </c>
      <c r="C16" s="167" t="s">
        <v>185</v>
      </c>
      <c r="D16" s="134" t="s">
        <v>196</v>
      </c>
      <c r="E16" s="134" t="s">
        <v>22</v>
      </c>
      <c r="F16" s="96" t="s">
        <v>35</v>
      </c>
      <c r="G16" s="96" t="s">
        <v>20</v>
      </c>
      <c r="H16" s="134" t="s">
        <v>25</v>
      </c>
      <c r="I16" s="134" t="s">
        <v>21</v>
      </c>
      <c r="J16" s="134" t="s">
        <v>93</v>
      </c>
      <c r="K16" s="134" t="s">
        <v>194</v>
      </c>
      <c r="L16" s="134" t="s">
        <v>9</v>
      </c>
      <c r="M16" s="134" t="s">
        <v>10</v>
      </c>
    </row>
    <row r="17" spans="1:13" s="60" customFormat="1" x14ac:dyDescent="0.2">
      <c r="A17" s="118"/>
      <c r="B17" s="97"/>
      <c r="C17" s="168" t="s">
        <v>186</v>
      </c>
      <c r="D17" s="135"/>
      <c r="E17" s="135"/>
      <c r="F17" s="101"/>
      <c r="G17" s="101"/>
      <c r="H17" s="136"/>
      <c r="I17" s="97"/>
      <c r="J17" s="97" t="s">
        <v>96</v>
      </c>
      <c r="K17" s="97"/>
      <c r="L17" s="97"/>
      <c r="M17" s="97"/>
    </row>
    <row r="18" spans="1:13" s="60" customFormat="1" x14ac:dyDescent="0.2">
      <c r="A18" s="118"/>
      <c r="B18" s="97"/>
      <c r="C18" s="97"/>
      <c r="D18" s="97" t="s">
        <v>8</v>
      </c>
      <c r="E18" s="97" t="s">
        <v>7</v>
      </c>
      <c r="F18" s="97" t="s">
        <v>11</v>
      </c>
      <c r="G18" s="97" t="s">
        <v>8</v>
      </c>
      <c r="H18" s="136"/>
      <c r="I18" s="97" t="s">
        <v>92</v>
      </c>
      <c r="J18" s="97" t="s">
        <v>18</v>
      </c>
      <c r="K18" s="97"/>
      <c r="L18" s="97" t="s">
        <v>8</v>
      </c>
      <c r="M18" s="97" t="s">
        <v>19</v>
      </c>
    </row>
    <row r="19" spans="1:13" s="60" customFormat="1" x14ac:dyDescent="0.2">
      <c r="A19" s="98" t="str">
        <f>Summery!A19</f>
        <v>ThermoCem Plus</v>
      </c>
      <c r="B19" s="169" t="str">
        <f>Summery!B19</f>
        <v>HeidelbergCement</v>
      </c>
      <c r="C19" s="169" t="s">
        <v>152</v>
      </c>
      <c r="D19" s="157">
        <f>ThermoCem!$C$23</f>
        <v>760.06273877172418</v>
      </c>
      <c r="E19" s="157">
        <f>ThermoCem!$C$24</f>
        <v>608.05019101737935</v>
      </c>
      <c r="F19" s="131">
        <f>ThermoCem!$C$25</f>
        <v>30.402509550868967</v>
      </c>
      <c r="G19" s="131">
        <f>ThermoCem!$C$26</f>
        <v>1376.0175822723295</v>
      </c>
      <c r="H19" s="102" t="str">
        <f>ThermoCem!$C$15</f>
        <v>ja</v>
      </c>
      <c r="I19" s="103" t="str">
        <f>ThermoCem!$C$16</f>
        <v>» 2.0</v>
      </c>
      <c r="J19" s="104">
        <f>ThermoCem!$C$17</f>
        <v>1.24</v>
      </c>
      <c r="K19" s="105">
        <f>ThermoCem!$C$19</f>
        <v>0.8</v>
      </c>
      <c r="L19" s="106">
        <f>ThermoCem!$C$20</f>
        <v>25</v>
      </c>
      <c r="M19" s="107">
        <f>ThermoCem!$C$21</f>
        <v>1460</v>
      </c>
    </row>
    <row r="20" spans="1:13" s="60" customFormat="1" x14ac:dyDescent="0.2">
      <c r="A20" s="99"/>
      <c r="B20" s="170" t="str">
        <f>Summery!B20</f>
        <v>Baustoffe für Geotechnik</v>
      </c>
      <c r="C20" s="170" t="str">
        <f>Summery!C21</f>
        <v>San Giacum 21</v>
      </c>
      <c r="D20" s="108"/>
      <c r="E20" s="108"/>
      <c r="F20" s="108"/>
      <c r="G20" s="108"/>
      <c r="H20" s="108"/>
      <c r="I20" s="108"/>
      <c r="J20" s="108"/>
      <c r="K20" s="108"/>
      <c r="L20" s="108"/>
      <c r="M20" s="108"/>
    </row>
    <row r="21" spans="1:13" s="60" customFormat="1" x14ac:dyDescent="0.2">
      <c r="A21" s="99"/>
      <c r="B21" s="170" t="str">
        <f>Summery!B21</f>
        <v xml:space="preserve">D-59320 Ennigerloh </v>
      </c>
      <c r="C21" s="170" t="str">
        <f>Summery!C22</f>
        <v>7412 Scharans</v>
      </c>
      <c r="D21" s="108"/>
      <c r="E21" s="108"/>
      <c r="F21" s="108"/>
      <c r="G21" s="108"/>
      <c r="H21" s="108"/>
      <c r="I21" s="108"/>
      <c r="J21" s="108"/>
      <c r="K21" s="108"/>
      <c r="L21" s="108"/>
      <c r="M21" s="108"/>
    </row>
    <row r="22" spans="1:13" s="60" customFormat="1" x14ac:dyDescent="0.2">
      <c r="A22" s="99"/>
      <c r="B22" s="170" t="str">
        <f>Summery!B22</f>
        <v>www.heidelbergcement.de</v>
      </c>
      <c r="C22" s="170" t="str">
        <f>Summery!C23</f>
        <v>081 651 02 60</v>
      </c>
      <c r="D22" s="108"/>
      <c r="E22" s="108"/>
      <c r="F22" s="108"/>
      <c r="G22" s="108"/>
      <c r="H22" s="108"/>
      <c r="I22" s="108"/>
      <c r="J22" s="108"/>
      <c r="K22" s="108"/>
      <c r="L22" s="108"/>
      <c r="M22" s="108"/>
    </row>
    <row r="23" spans="1:13" s="60" customFormat="1" x14ac:dyDescent="0.2">
      <c r="A23" s="99"/>
      <c r="B23" s="121"/>
      <c r="C23" s="170" t="str">
        <f>Summery!C24</f>
        <v>www.btd-bohrtechnik.ch</v>
      </c>
      <c r="D23" s="108"/>
      <c r="E23" s="108"/>
      <c r="F23" s="108"/>
      <c r="G23" s="108"/>
      <c r="H23" s="108"/>
      <c r="I23" s="108"/>
      <c r="J23" s="108"/>
      <c r="K23" s="108"/>
      <c r="L23" s="108"/>
      <c r="M23" s="108"/>
    </row>
    <row r="24" spans="1:13" s="60" customFormat="1" x14ac:dyDescent="0.2">
      <c r="A24" s="99"/>
      <c r="B24" s="121"/>
      <c r="D24" s="108"/>
      <c r="E24" s="108"/>
      <c r="F24" s="108"/>
      <c r="G24" s="108"/>
      <c r="H24" s="108"/>
      <c r="I24" s="108"/>
      <c r="J24" s="108"/>
      <c r="K24" s="108"/>
      <c r="L24" s="108"/>
      <c r="M24" s="108"/>
    </row>
    <row r="25" spans="1:13" s="60" customFormat="1" x14ac:dyDescent="0.2">
      <c r="A25" s="98" t="str">
        <f>Summery!A25</f>
        <v>EWM Füllbinder</v>
      </c>
      <c r="B25" s="169" t="str">
        <f>EWM!$C$6</f>
        <v>Schwenk Zement KG</v>
      </c>
      <c r="C25" s="169" t="s">
        <v>157</v>
      </c>
      <c r="D25" s="157">
        <f>EWM!$C$23</f>
        <v>1346.3968515384829</v>
      </c>
      <c r="E25" s="157">
        <f>EWM!$C$24</f>
        <v>444.3109610076994</v>
      </c>
      <c r="F25" s="131">
        <f>EWM!$C$25</f>
        <v>53.855874061539318</v>
      </c>
      <c r="G25" s="131">
        <f>EWM!$C$26</f>
        <v>1790.7078125461821</v>
      </c>
      <c r="H25" s="102" t="str">
        <f>EWM!$C$15</f>
        <v>ja</v>
      </c>
      <c r="I25" s="109">
        <f>EWM!$C$16</f>
        <v>2.3199999999999998</v>
      </c>
      <c r="J25" s="104">
        <f>EWM!$C$17</f>
        <v>0.7</v>
      </c>
      <c r="K25" s="105">
        <f>EWM!$C$19</f>
        <v>0.33</v>
      </c>
      <c r="L25" s="106">
        <f>EWM!$C$20</f>
        <v>25</v>
      </c>
      <c r="M25" s="107">
        <f>EWM!$C$21</f>
        <v>1900</v>
      </c>
    </row>
    <row r="26" spans="1:13" s="60" customFormat="1" x14ac:dyDescent="0.2">
      <c r="A26" s="99"/>
      <c r="B26" s="170" t="str">
        <f>Summery!B26</f>
        <v>D-89028 Ulm/Donau</v>
      </c>
      <c r="C26" s="170" t="str">
        <f>Summery!C27</f>
        <v>Hotzestrasse 61</v>
      </c>
      <c r="D26" s="108"/>
      <c r="E26" s="108"/>
      <c r="F26" s="108"/>
      <c r="G26" s="108"/>
      <c r="H26" s="108"/>
      <c r="I26" s="108"/>
      <c r="J26" s="108"/>
      <c r="K26" s="108"/>
      <c r="L26" s="108"/>
      <c r="M26" s="108"/>
    </row>
    <row r="27" spans="1:13" s="60" customFormat="1" x14ac:dyDescent="0.2">
      <c r="A27" s="99"/>
      <c r="B27" s="170"/>
      <c r="C27" s="170" t="str">
        <f>Summery!C28</f>
        <v>8006 Zürich</v>
      </c>
      <c r="D27" s="108"/>
      <c r="E27" s="108"/>
      <c r="F27" s="108"/>
      <c r="G27" s="108"/>
      <c r="H27" s="108"/>
      <c r="I27" s="108"/>
      <c r="J27" s="108"/>
      <c r="K27" s="108"/>
      <c r="L27" s="108"/>
      <c r="M27" s="108"/>
    </row>
    <row r="28" spans="1:13" s="60" customFormat="1" x14ac:dyDescent="0.2">
      <c r="A28" s="99"/>
      <c r="B28" s="170" t="str">
        <f>Summery!B28</f>
        <v>www.schwenk-zement.de</v>
      </c>
      <c r="D28" s="108"/>
      <c r="E28" s="108"/>
      <c r="F28" s="108"/>
      <c r="G28" s="108"/>
      <c r="H28" s="108"/>
      <c r="I28" s="108"/>
      <c r="J28" s="108"/>
      <c r="K28" s="108"/>
      <c r="L28" s="108"/>
      <c r="M28" s="108"/>
    </row>
    <row r="29" spans="1:13" s="60" customFormat="1" x14ac:dyDescent="0.2">
      <c r="A29" s="99"/>
      <c r="B29" s="121"/>
      <c r="C29" s="121"/>
      <c r="D29" s="108"/>
      <c r="E29" s="108"/>
      <c r="F29" s="108"/>
      <c r="G29" s="108"/>
      <c r="H29" s="108"/>
      <c r="I29" s="108"/>
      <c r="J29" s="108"/>
      <c r="K29" s="108"/>
      <c r="L29" s="108"/>
      <c r="M29" s="108"/>
    </row>
    <row r="30" spans="1:13" s="60" customFormat="1" x14ac:dyDescent="0.2">
      <c r="A30" s="99"/>
      <c r="B30" s="121"/>
      <c r="C30" s="121"/>
      <c r="D30" s="108"/>
      <c r="E30" s="108"/>
      <c r="F30" s="108"/>
      <c r="G30" s="108"/>
      <c r="H30" s="108"/>
      <c r="I30" s="108"/>
      <c r="J30" s="108"/>
      <c r="K30" s="108"/>
      <c r="L30" s="108"/>
      <c r="M30" s="108"/>
    </row>
    <row r="31" spans="1:13" s="60" customFormat="1" x14ac:dyDescent="0.2">
      <c r="A31" s="98" t="str">
        <f>Summery!A31</f>
        <v>Callidutherm</v>
      </c>
      <c r="B31" s="169" t="str">
        <f>Calidutherm!$C$6</f>
        <v>Terra Calidus GmbH, D-07546 Gera</v>
      </c>
      <c r="C31" s="120"/>
      <c r="D31" s="157">
        <f>Calidutherm!$C$23</f>
        <v>972.63708555139999</v>
      </c>
      <c r="E31" s="157">
        <f>Calidutherm!$C$24</f>
        <v>583.58225133083999</v>
      </c>
      <c r="F31" s="131">
        <f>Calidutherm!$C$25</f>
        <v>38.905483422056001</v>
      </c>
      <c r="G31" s="131">
        <f>Calidutherm!$C$26</f>
        <v>1555.0883635269477</v>
      </c>
      <c r="H31" s="102" t="str">
        <f>Calidutherm!$C$15</f>
        <v>ja</v>
      </c>
      <c r="I31" s="102" t="str">
        <f>Calidutherm!$C$16</f>
        <v>ca. 2</v>
      </c>
      <c r="J31" s="104">
        <f>Calidutherm!$C$17</f>
        <v>0.96899224806201545</v>
      </c>
      <c r="K31" s="105">
        <f>Calidutherm!$C$19</f>
        <v>0.6</v>
      </c>
      <c r="L31" s="106">
        <f>Calidutherm!$C$20</f>
        <v>25</v>
      </c>
      <c r="M31" s="107">
        <f>Calidutherm!$C$21</f>
        <v>1650</v>
      </c>
    </row>
    <row r="32" spans="1:13" s="60" customFormat="1" x14ac:dyDescent="0.2">
      <c r="A32" s="99"/>
      <c r="B32" s="170" t="str">
        <f>Summery!B32</f>
        <v>dornburger zement GmbH &amp; Co.</v>
      </c>
      <c r="C32" s="170" t="str">
        <f>Summery!C32</f>
        <v>Lieferung direkt aus D</v>
      </c>
      <c r="D32" s="108"/>
      <c r="E32" s="108"/>
      <c r="F32" s="108"/>
      <c r="G32" s="108"/>
      <c r="H32" s="108"/>
      <c r="I32" s="108"/>
      <c r="J32" s="108"/>
      <c r="K32" s="108"/>
      <c r="L32" s="108"/>
      <c r="M32" s="108"/>
    </row>
    <row r="33" spans="1:13" s="60" customFormat="1" x14ac:dyDescent="0.2">
      <c r="A33" s="99"/>
      <c r="B33" s="170" t="str">
        <f>Summery!B33</f>
        <v xml:space="preserve">D-07778 Dorndorf </v>
      </c>
      <c r="C33" s="170" t="str">
        <f>Summery!C33</f>
        <v>Kontakt: Hauptnummer</v>
      </c>
      <c r="D33" s="108"/>
      <c r="E33" s="108"/>
      <c r="F33" s="108"/>
      <c r="G33" s="108"/>
      <c r="H33" s="108"/>
      <c r="I33" s="108"/>
      <c r="J33" s="108"/>
      <c r="K33" s="108"/>
      <c r="L33" s="108"/>
      <c r="M33" s="108"/>
    </row>
    <row r="34" spans="1:13" s="60" customFormat="1" x14ac:dyDescent="0.2">
      <c r="A34" s="99"/>
      <c r="B34" s="170" t="str">
        <f>Summery!B34</f>
        <v>www.terra-calidus.de</v>
      </c>
      <c r="C34" s="171"/>
      <c r="D34" s="108"/>
      <c r="E34" s="108"/>
      <c r="F34" s="108"/>
      <c r="G34" s="108"/>
      <c r="H34" s="108"/>
      <c r="I34" s="108"/>
      <c r="J34" s="108"/>
      <c r="K34" s="108"/>
      <c r="L34" s="108"/>
      <c r="M34" s="108"/>
    </row>
    <row r="35" spans="1:13" s="60" customFormat="1" x14ac:dyDescent="0.2">
      <c r="A35" s="99"/>
      <c r="B35" s="121"/>
      <c r="C35" s="171"/>
      <c r="D35" s="108"/>
      <c r="E35" s="108"/>
      <c r="F35" s="108"/>
      <c r="G35" s="108"/>
      <c r="H35" s="108"/>
      <c r="I35" s="108"/>
      <c r="J35" s="108"/>
      <c r="K35" s="108"/>
      <c r="L35" s="108"/>
      <c r="M35" s="108"/>
    </row>
    <row r="36" spans="1:13" s="60" customFormat="1" x14ac:dyDescent="0.2">
      <c r="A36" s="99"/>
      <c r="B36" s="121"/>
      <c r="C36" s="171"/>
      <c r="D36" s="108"/>
      <c r="E36" s="108"/>
      <c r="F36" s="108"/>
      <c r="G36" s="108"/>
      <c r="H36" s="108"/>
      <c r="I36" s="108"/>
      <c r="J36" s="108"/>
      <c r="K36" s="108"/>
      <c r="L36" s="108"/>
      <c r="M36" s="108"/>
    </row>
    <row r="37" spans="1:13" s="60" customFormat="1" x14ac:dyDescent="0.2">
      <c r="A37" s="98" t="str">
        <f>Summery!A37</f>
        <v>HDG</v>
      </c>
      <c r="B37" s="169" t="str">
        <f>HDG!$C$6</f>
        <v>HDG Umelttechnik GmbH</v>
      </c>
      <c r="C37" s="120"/>
      <c r="D37" s="157">
        <f>HDG!$C$23</f>
        <v>1178.0972450961724</v>
      </c>
      <c r="E37" s="157">
        <f>HDG!$C$24</f>
        <v>518.36278784231581</v>
      </c>
      <c r="F37" s="131">
        <f>HDG!$C$25</f>
        <v>47.123889803846893</v>
      </c>
      <c r="G37" s="131">
        <f>HDG!$C$26</f>
        <v>1687.035254977719</v>
      </c>
      <c r="H37" s="102" t="str">
        <f>HDG!$C$15</f>
        <v>ja</v>
      </c>
      <c r="I37" s="109" t="str">
        <f>HDG!$C$16</f>
        <v>&gt;= 2</v>
      </c>
      <c r="J37" s="104">
        <f>HDG!$C$17</f>
        <v>0.8</v>
      </c>
      <c r="K37" s="105">
        <f>HDG!$C$19</f>
        <v>0.44</v>
      </c>
      <c r="L37" s="106">
        <f>HDG!$C$20</f>
        <v>25</v>
      </c>
      <c r="M37" s="107">
        <f>HDG!$C$21</f>
        <v>1790</v>
      </c>
    </row>
    <row r="38" spans="1:13" s="60" customFormat="1" x14ac:dyDescent="0.2">
      <c r="A38" s="99"/>
      <c r="B38" s="170" t="str">
        <f>Summery!B38</f>
        <v>Stolzenseeweg 1</v>
      </c>
      <c r="C38" s="170" t="str">
        <f>Summery!C38</f>
        <v>Lieferung direkt aus D</v>
      </c>
      <c r="D38" s="108"/>
      <c r="E38" s="108"/>
      <c r="F38" s="108"/>
      <c r="G38" s="108"/>
      <c r="H38" s="108"/>
      <c r="I38" s="108"/>
      <c r="J38" s="108"/>
      <c r="K38" s="108"/>
      <c r="L38" s="108"/>
      <c r="M38" s="108"/>
    </row>
    <row r="39" spans="1:13" s="60" customFormat="1" x14ac:dyDescent="0.2">
      <c r="A39" s="99"/>
      <c r="B39" s="170" t="str">
        <f>Summery!B39</f>
        <v>D-88353 Kisslegg</v>
      </c>
      <c r="C39" s="170" t="str">
        <f>Summery!C39</f>
        <v>Kontakt: Hauptnummer</v>
      </c>
      <c r="D39" s="108"/>
      <c r="E39" s="108"/>
      <c r="F39" s="108"/>
      <c r="G39" s="108"/>
      <c r="H39" s="108"/>
      <c r="I39" s="108"/>
      <c r="J39" s="108"/>
      <c r="K39" s="108"/>
      <c r="L39" s="108"/>
      <c r="M39" s="108"/>
    </row>
    <row r="40" spans="1:13" s="60" customFormat="1" x14ac:dyDescent="0.2">
      <c r="A40" s="99"/>
      <c r="B40" s="170" t="str">
        <f>Summery!B40</f>
        <v>www.hdg-umwelttechnik.com</v>
      </c>
      <c r="C40" s="170" t="str">
        <f>Summery!C40</f>
        <v>Lager in Muri (BE)</v>
      </c>
      <c r="D40" s="108"/>
      <c r="E40" s="108"/>
      <c r="F40" s="108"/>
      <c r="G40" s="108"/>
      <c r="H40" s="108"/>
      <c r="I40" s="108"/>
      <c r="J40" s="108"/>
      <c r="K40" s="108"/>
      <c r="L40" s="108"/>
      <c r="M40" s="108"/>
    </row>
    <row r="41" spans="1:13" s="60" customFormat="1" x14ac:dyDescent="0.2">
      <c r="A41" s="99"/>
      <c r="B41" s="121"/>
      <c r="C41" s="170"/>
      <c r="D41" s="108"/>
      <c r="E41" s="108"/>
      <c r="F41" s="108"/>
      <c r="G41" s="108"/>
      <c r="H41" s="108"/>
      <c r="I41" s="108"/>
      <c r="J41" s="108"/>
      <c r="K41" s="108"/>
      <c r="L41" s="108"/>
      <c r="M41" s="108"/>
    </row>
    <row r="42" spans="1:13" s="60" customFormat="1" x14ac:dyDescent="0.2">
      <c r="A42" s="99"/>
      <c r="B42" s="121"/>
      <c r="C42" s="170"/>
      <c r="D42" s="108"/>
      <c r="E42" s="108"/>
      <c r="F42" s="108"/>
      <c r="G42" s="108"/>
      <c r="H42" s="108"/>
      <c r="I42" s="108"/>
      <c r="J42" s="108"/>
      <c r="K42" s="108"/>
      <c r="L42" s="108"/>
      <c r="M42" s="108"/>
    </row>
    <row r="43" spans="1:13" s="60" customFormat="1" x14ac:dyDescent="0.2">
      <c r="A43" s="98" t="str">
        <f>Summery!A43</f>
        <v>Duritherm Plus</v>
      </c>
      <c r="B43" s="169" t="str">
        <f>Duritherm!$C$6</f>
        <v>Mapei Betontechnik GmbH</v>
      </c>
      <c r="C43" s="120"/>
      <c r="D43" s="157">
        <f>Duritherm!$C$23</f>
        <v>1131.4259256625905</v>
      </c>
      <c r="E43" s="157">
        <f>Duritherm!$C$24</f>
        <v>565.71296283129527</v>
      </c>
      <c r="F43" s="131">
        <f>Duritherm!$C$25</f>
        <v>45.257037026503625</v>
      </c>
      <c r="G43" s="131">
        <f>Duritherm!$C$26</f>
        <v>1130.9733552923256</v>
      </c>
      <c r="H43" s="102" t="str">
        <f>Duritherm!$C$15</f>
        <v>ja</v>
      </c>
      <c r="I43" s="102" t="str">
        <f>Duritherm!$C$16</f>
        <v>&gt; 2</v>
      </c>
      <c r="J43" s="104">
        <f>Duritherm!$C$17</f>
        <v>0.83299999999999996</v>
      </c>
      <c r="K43" s="105">
        <f>Duritherm!$C$19</f>
        <v>0.5</v>
      </c>
      <c r="L43" s="106">
        <f>Duritherm!$C$20</f>
        <v>25</v>
      </c>
      <c r="M43" s="107">
        <f>Duritherm!$C$21</f>
        <v>1200</v>
      </c>
    </row>
    <row r="44" spans="1:13" s="60" customFormat="1" x14ac:dyDescent="0.2">
      <c r="A44" s="99"/>
      <c r="B44" s="170" t="str">
        <f>Summery!B44</f>
        <v>Grazer Strasse 80</v>
      </c>
      <c r="C44" s="170" t="str">
        <f>Summery!C44</f>
        <v>Lieferung aus AT</v>
      </c>
      <c r="D44" s="108"/>
      <c r="E44" s="108"/>
      <c r="F44" s="108"/>
      <c r="G44" s="108"/>
      <c r="H44" s="108"/>
      <c r="I44" s="108"/>
      <c r="J44" s="108"/>
      <c r="K44" s="108"/>
      <c r="L44" s="108"/>
      <c r="M44" s="108"/>
    </row>
    <row r="45" spans="1:13" s="60" customFormat="1" x14ac:dyDescent="0.2">
      <c r="A45" s="99"/>
      <c r="B45" s="170" t="str">
        <f>Summery!B45</f>
        <v>A-8665 Langenwang</v>
      </c>
      <c r="C45" s="170" t="str">
        <f>Summery!C45</f>
        <v>Kontakt: mapei.ch</v>
      </c>
      <c r="D45" s="108"/>
      <c r="E45" s="108"/>
      <c r="F45" s="108"/>
      <c r="G45" s="108"/>
      <c r="H45" s="108"/>
      <c r="I45" s="108"/>
      <c r="J45" s="108"/>
      <c r="K45" s="108"/>
      <c r="L45" s="108"/>
      <c r="M45" s="108"/>
    </row>
    <row r="46" spans="1:13" s="60" customFormat="1" x14ac:dyDescent="0.2">
      <c r="A46" s="99"/>
      <c r="B46" s="170" t="str">
        <f>Summery!B46</f>
        <v>www.mapei-betontechnik.at</v>
      </c>
      <c r="C46" s="170" t="str">
        <f>Summery!C47</f>
        <v>079 776 99 47</v>
      </c>
      <c r="D46" s="108"/>
      <c r="E46" s="108"/>
      <c r="F46" s="108"/>
      <c r="G46" s="108"/>
      <c r="H46" s="108"/>
      <c r="I46" s="108"/>
      <c r="J46" s="108"/>
      <c r="K46" s="108"/>
      <c r="L46" s="108"/>
      <c r="M46" s="108"/>
    </row>
    <row r="47" spans="1:13" s="60" customFormat="1" x14ac:dyDescent="0.2">
      <c r="A47" s="99"/>
      <c r="B47" s="121"/>
      <c r="D47" s="108"/>
      <c r="E47" s="108"/>
      <c r="F47" s="108"/>
      <c r="G47" s="108"/>
      <c r="H47" s="108"/>
      <c r="I47" s="108"/>
      <c r="J47" s="108"/>
      <c r="K47" s="108"/>
      <c r="L47" s="108"/>
      <c r="M47" s="108"/>
    </row>
    <row r="48" spans="1:13" s="60" customFormat="1" x14ac:dyDescent="0.2">
      <c r="A48" s="99"/>
      <c r="B48" s="121"/>
      <c r="C48" s="121"/>
      <c r="D48" s="108"/>
      <c r="E48" s="108"/>
      <c r="F48" s="108"/>
      <c r="G48" s="108"/>
      <c r="H48" s="108"/>
      <c r="I48" s="108"/>
      <c r="J48" s="108"/>
      <c r="K48" s="108"/>
      <c r="L48" s="108"/>
      <c r="M48" s="108"/>
    </row>
    <row r="49" spans="1:13" s="60" customFormat="1" x14ac:dyDescent="0.2">
      <c r="A49" s="98" t="str">
        <f>Summery!A49</f>
        <v>StüwathermZ</v>
      </c>
      <c r="B49" s="169" t="str">
        <f>StüwathermZ!$C$6</f>
        <v>STÜWA Konrad Stükerjürgen GmbH</v>
      </c>
      <c r="C49" s="120"/>
      <c r="D49" s="157">
        <f>StüwathermZ!$C$23</f>
        <v>942.47779607693792</v>
      </c>
      <c r="E49" s="157">
        <f>StüwathermZ!$C$24</f>
        <v>612.61056745000963</v>
      </c>
      <c r="F49" s="131">
        <f>StüwathermZ!$C$25</f>
        <v>37.699111843077517</v>
      </c>
      <c r="G49" s="131"/>
      <c r="H49" s="102" t="str">
        <f>StüwathermZ!$C$15</f>
        <v>mittel</v>
      </c>
      <c r="I49" s="109">
        <f>StüwathermZ!$C$16</f>
        <v>2</v>
      </c>
      <c r="J49" s="104">
        <f>StüwathermZ!$C$17</f>
        <v>1</v>
      </c>
      <c r="K49" s="105">
        <f>StüwathermZ!$C$19</f>
        <v>0.65</v>
      </c>
      <c r="L49" s="106">
        <f>StüwathermZ!$C$20</f>
        <v>25</v>
      </c>
      <c r="M49" s="107" t="str">
        <f>StüwathermZ!$C$21</f>
        <v>keine Angaben</v>
      </c>
    </row>
    <row r="50" spans="1:13" s="60" customFormat="1" x14ac:dyDescent="0.2">
      <c r="A50" s="99"/>
      <c r="B50" s="170" t="str">
        <f>Summery!B50</f>
        <v>D-33397 Rietberg - Varensell</v>
      </c>
      <c r="C50" s="170" t="str">
        <f>Summery!C50</f>
        <v>Lieferung direkt aus D</v>
      </c>
      <c r="D50" s="108"/>
      <c r="E50" s="108"/>
      <c r="F50" s="108"/>
      <c r="G50" s="108"/>
      <c r="H50" s="108"/>
      <c r="I50" s="108"/>
      <c r="J50" s="108"/>
      <c r="K50" s="108"/>
      <c r="L50" s="108"/>
      <c r="M50" s="108"/>
    </row>
    <row r="51" spans="1:13" s="60" customFormat="1" x14ac:dyDescent="0.2">
      <c r="A51" s="99"/>
      <c r="B51" s="170"/>
      <c r="C51" s="170" t="s">
        <v>165</v>
      </c>
      <c r="D51" s="108"/>
      <c r="E51" s="108"/>
      <c r="F51" s="108"/>
      <c r="G51" s="108"/>
      <c r="H51" s="108"/>
      <c r="I51" s="108"/>
      <c r="J51" s="108"/>
      <c r="K51" s="108"/>
      <c r="L51" s="108"/>
      <c r="M51" s="108"/>
    </row>
    <row r="52" spans="1:13" s="60" customFormat="1" x14ac:dyDescent="0.2">
      <c r="A52" s="99"/>
      <c r="B52" s="170" t="str">
        <f>Summery!B52</f>
        <v>www.stuewa.de</v>
      </c>
      <c r="C52" s="121"/>
      <c r="D52" s="108"/>
      <c r="E52" s="108"/>
      <c r="F52" s="108"/>
      <c r="G52" s="108"/>
      <c r="H52" s="108"/>
      <c r="I52" s="108"/>
      <c r="J52" s="108"/>
      <c r="K52" s="108"/>
      <c r="L52" s="108"/>
      <c r="M52" s="108"/>
    </row>
    <row r="53" spans="1:13" s="60" customFormat="1" x14ac:dyDescent="0.2">
      <c r="A53" s="99"/>
      <c r="B53" s="170"/>
      <c r="C53" s="121"/>
      <c r="D53" s="108"/>
      <c r="E53" s="108"/>
      <c r="F53" s="108"/>
      <c r="G53" s="108"/>
      <c r="H53" s="108"/>
      <c r="I53" s="108"/>
      <c r="J53" s="108"/>
      <c r="K53" s="108"/>
      <c r="L53" s="108"/>
      <c r="M53" s="108"/>
    </row>
    <row r="54" spans="1:13" s="60" customFormat="1" x14ac:dyDescent="0.2">
      <c r="A54" s="99"/>
      <c r="B54" s="170"/>
      <c r="C54" s="121"/>
      <c r="D54" s="108"/>
      <c r="E54" s="108"/>
      <c r="F54" s="108"/>
      <c r="G54" s="108"/>
      <c r="H54" s="108"/>
      <c r="I54" s="108"/>
      <c r="J54" s="108"/>
      <c r="K54" s="108"/>
      <c r="L54" s="108"/>
      <c r="M54" s="108"/>
    </row>
    <row r="55" spans="1:13" s="60" customFormat="1" x14ac:dyDescent="0.2">
      <c r="A55" s="98" t="str">
        <f>Summery!A55</f>
        <v>Stüwapress F-10</v>
      </c>
      <c r="B55" s="169" t="str">
        <f>StüwapressF10!$C$6</f>
        <v>STÜWA Konrad Stükerjürgen GmbH</v>
      </c>
      <c r="C55" s="120"/>
      <c r="D55" s="157">
        <f>StüwapressF10!$C$23</f>
        <v>1025.4158421317086</v>
      </c>
      <c r="E55" s="157">
        <f>StüwapressF10!$C$24</f>
        <v>563.97871317243983</v>
      </c>
      <c r="F55" s="131">
        <f>StüwapressF10!$C$25</f>
        <v>41.016633685268346</v>
      </c>
      <c r="G55" s="131">
        <f>StüwapressF10!$C$26</f>
        <v>1583.3626974092558</v>
      </c>
      <c r="H55" s="102" t="str">
        <f>StüwapressF10!$C$15</f>
        <v>hoch</v>
      </c>
      <c r="I55" s="102">
        <f>StüwapressF10!$C$16</f>
        <v>1.5</v>
      </c>
      <c r="J55" s="104">
        <f>StüwapressF10!$C$17</f>
        <v>0.91911764705882348</v>
      </c>
      <c r="K55" s="105">
        <f>StüwapressF10!$C$19</f>
        <v>0.55000000000000004</v>
      </c>
      <c r="L55" s="106">
        <f>StüwapressF10!$C$20</f>
        <v>25</v>
      </c>
      <c r="M55" s="107">
        <f>StüwapressF10!$C$21</f>
        <v>1680</v>
      </c>
    </row>
    <row r="56" spans="1:13" s="60" customFormat="1" x14ac:dyDescent="0.2">
      <c r="A56" s="99"/>
      <c r="B56" s="170" t="str">
        <f>Summery!B56</f>
        <v>D-33397 Rietberg - Varensell</v>
      </c>
      <c r="C56" s="170" t="str">
        <f>Summery!C56</f>
        <v>Lieferung direkt aus D</v>
      </c>
      <c r="D56" s="108"/>
      <c r="E56" s="108"/>
      <c r="F56" s="108"/>
      <c r="G56" s="108"/>
      <c r="H56" s="108"/>
      <c r="I56" s="108"/>
      <c r="J56" s="108"/>
      <c r="K56" s="108"/>
      <c r="L56" s="108"/>
      <c r="M56" s="108"/>
    </row>
    <row r="57" spans="1:13" s="60" customFormat="1" x14ac:dyDescent="0.2">
      <c r="A57" s="99"/>
      <c r="B57" s="170"/>
      <c r="C57" s="170" t="s">
        <v>165</v>
      </c>
      <c r="D57" s="121"/>
      <c r="E57" s="121"/>
      <c r="F57" s="121"/>
      <c r="G57" s="121"/>
      <c r="H57" s="121"/>
      <c r="I57" s="121"/>
      <c r="J57" s="121"/>
      <c r="K57" s="121"/>
      <c r="L57" s="121"/>
      <c r="M57" s="121"/>
    </row>
    <row r="58" spans="1:13" s="60" customFormat="1" x14ac:dyDescent="0.2">
      <c r="A58" s="99"/>
      <c r="B58" s="170" t="str">
        <f>Summery!B58</f>
        <v>www.stuewa.de</v>
      </c>
      <c r="C58" s="121"/>
      <c r="D58" s="121"/>
      <c r="E58" s="121"/>
      <c r="F58" s="121"/>
      <c r="G58" s="121"/>
      <c r="H58" s="121"/>
      <c r="I58" s="121"/>
      <c r="J58" s="121"/>
      <c r="K58" s="121"/>
      <c r="L58" s="121"/>
      <c r="M58" s="121"/>
    </row>
    <row r="59" spans="1:13" x14ac:dyDescent="0.2">
      <c r="A59" s="125"/>
      <c r="B59" s="172"/>
      <c r="C59" s="57"/>
      <c r="D59" s="57"/>
      <c r="E59" s="57"/>
      <c r="F59" s="57"/>
      <c r="G59" s="57"/>
      <c r="H59" s="137"/>
      <c r="I59" s="57"/>
      <c r="J59" s="57"/>
      <c r="K59" s="57"/>
      <c r="L59" s="57"/>
      <c r="M59" s="57"/>
    </row>
    <row r="60" spans="1:13" x14ac:dyDescent="0.2">
      <c r="A60" s="127"/>
      <c r="B60" s="173"/>
      <c r="C60" s="130"/>
      <c r="D60" s="130"/>
      <c r="E60" s="130"/>
      <c r="F60" s="130"/>
      <c r="G60" s="130"/>
      <c r="H60" s="138"/>
      <c r="I60" s="130"/>
      <c r="J60" s="130"/>
      <c r="K60" s="130"/>
      <c r="L60" s="130"/>
      <c r="M60" s="130"/>
    </row>
    <row r="62" spans="1:13" ht="15" x14ac:dyDescent="0.2">
      <c r="A62" s="112" t="str">
        <f>Summery!A62</f>
        <v>Kontakt</v>
      </c>
    </row>
    <row r="63" spans="1:13" x14ac:dyDescent="0.2">
      <c r="A63" s="4" t="str">
        <f>Summery!A2</f>
        <v>www.erdsondenoptimierung.ch</v>
      </c>
    </row>
    <row r="64" spans="1:13" ht="14.25" x14ac:dyDescent="0.2">
      <c r="A64" s="113"/>
    </row>
    <row r="65" spans="1:1" ht="14.25" x14ac:dyDescent="0.2">
      <c r="A65" s="113"/>
    </row>
    <row r="66" spans="1:1" ht="14.25" x14ac:dyDescent="0.2">
      <c r="A66" s="113"/>
    </row>
    <row r="67" spans="1:1" ht="14.25" x14ac:dyDescent="0.2">
      <c r="A67" s="113"/>
    </row>
    <row r="68" spans="1:1" ht="14.25" x14ac:dyDescent="0.2">
      <c r="A68" s="113"/>
    </row>
    <row r="69" spans="1:1" ht="14.25" x14ac:dyDescent="0.2">
      <c r="A69" s="113"/>
    </row>
  </sheetData>
  <mergeCells count="10">
    <mergeCell ref="E11:F11"/>
    <mergeCell ref="E12:F12"/>
    <mergeCell ref="E13:F13"/>
    <mergeCell ref="E14:F14"/>
    <mergeCell ref="A11:B11"/>
    <mergeCell ref="A12:B12"/>
    <mergeCell ref="A13:B13"/>
    <mergeCell ref="A14:B14"/>
    <mergeCell ref="A9:B9"/>
    <mergeCell ref="A8:B8"/>
  </mergeCells>
  <printOptions horizontalCentered="1" verticalCentered="1"/>
  <pageMargins left="0.70866141732283472" right="0.70866141732283472" top="0.78740157480314965" bottom="0.78740157480314965" header="0.31496062992125984" footer="0.31496062992125984"/>
  <pageSetup paperSize="9" scale="43" orientation="landscape" r:id="rId1"/>
  <headerFooter>
    <oddHeader>&amp;L&amp;8www.erdsondenoptimierung.ch&amp;C&amp;8Tool - Bohrlochvolumen und Hinterfüllmaterial-Mengen&amp;R&amp;8Seite &amp;P</oddHeader>
    <oddFooter>&amp;L&amp;8&amp;D&amp;C&amp;8ZHAW ¦ Institut für Facility Management&amp;R&amp;8R. Mantel</oddFooter>
  </headerFooter>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Calc!$A$28:$A$30</xm:f>
          </x14:formula1>
          <xm:sqref>C14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zoomScaleNormal="100" workbookViewId="0">
      <selection activeCell="A27" sqref="A27:B27"/>
    </sheetView>
  </sheetViews>
  <sheetFormatPr baseColWidth="10" defaultColWidth="36.85546875" defaultRowHeight="12.75" x14ac:dyDescent="0.2"/>
  <cols>
    <col min="1" max="1" width="38.42578125" style="22" bestFit="1" customWidth="1"/>
    <col min="2" max="2" width="8" style="23" bestFit="1" customWidth="1"/>
    <col min="3" max="3" width="38.42578125" style="22" bestFit="1" customWidth="1"/>
    <col min="4" max="4" width="8" style="21" bestFit="1" customWidth="1"/>
    <col min="5" max="6" width="20.42578125" style="22" customWidth="1"/>
    <col min="7" max="7" width="24.42578125" style="22" customWidth="1"/>
    <col min="8" max="16384" width="36.85546875" style="22"/>
  </cols>
  <sheetData>
    <row r="2" spans="1:7" x14ac:dyDescent="0.2">
      <c r="A2" s="49" t="s">
        <v>23</v>
      </c>
      <c r="C2" s="15"/>
    </row>
    <row r="3" spans="1:7" x14ac:dyDescent="0.2">
      <c r="A3" s="16" t="s">
        <v>117</v>
      </c>
    </row>
    <row r="5" spans="1:7" x14ac:dyDescent="0.2">
      <c r="A5" s="47"/>
      <c r="B5" s="66"/>
      <c r="C5" s="75"/>
      <c r="D5" s="18"/>
      <c r="E5" s="17"/>
      <c r="F5" s="17"/>
      <c r="G5" s="17"/>
    </row>
    <row r="6" spans="1:7" s="24" customFormat="1" x14ac:dyDescent="0.2">
      <c r="A6" s="23" t="s">
        <v>24</v>
      </c>
      <c r="B6" s="23"/>
      <c r="C6" s="22" t="s">
        <v>141</v>
      </c>
      <c r="D6" s="21"/>
      <c r="F6" s="19"/>
      <c r="G6" s="19"/>
    </row>
    <row r="7" spans="1:7" s="24" customFormat="1" x14ac:dyDescent="0.2">
      <c r="A7" s="23"/>
      <c r="B7" s="23"/>
      <c r="C7" s="22" t="s">
        <v>142</v>
      </c>
      <c r="D7" s="21"/>
      <c r="F7" s="19"/>
      <c r="G7" s="19"/>
    </row>
    <row r="8" spans="1:7" s="24" customFormat="1" x14ac:dyDescent="0.2">
      <c r="A8" s="23"/>
      <c r="B8" s="23"/>
      <c r="C8" s="22"/>
      <c r="D8" s="21"/>
      <c r="F8" s="19"/>
      <c r="G8" s="19"/>
    </row>
    <row r="9" spans="1:7" s="24" customFormat="1" x14ac:dyDescent="0.2">
      <c r="A9" s="23"/>
      <c r="B9" s="23"/>
      <c r="C9" s="89" t="s">
        <v>150</v>
      </c>
      <c r="D9" s="21"/>
      <c r="F9" s="19"/>
      <c r="G9" s="19"/>
    </row>
    <row r="10" spans="1:7" s="24" customFormat="1" x14ac:dyDescent="0.2">
      <c r="A10" s="46" t="s">
        <v>99</v>
      </c>
      <c r="B10" s="23"/>
      <c r="C10" s="22"/>
      <c r="D10" s="21"/>
      <c r="F10" s="19"/>
      <c r="G10" s="19"/>
    </row>
    <row r="11" spans="1:7" s="24" customFormat="1" x14ac:dyDescent="0.2">
      <c r="A11" s="25" t="s">
        <v>122</v>
      </c>
      <c r="B11" s="23"/>
      <c r="C11" s="36" t="s">
        <v>116</v>
      </c>
      <c r="D11" s="21"/>
      <c r="F11" s="19"/>
      <c r="G11" s="19"/>
    </row>
    <row r="12" spans="1:7" s="24" customFormat="1" x14ac:dyDescent="0.2">
      <c r="A12" s="25" t="s">
        <v>115</v>
      </c>
      <c r="B12" s="23"/>
      <c r="C12" s="26" t="s">
        <v>114</v>
      </c>
      <c r="D12" s="21"/>
      <c r="F12" s="19"/>
      <c r="G12" s="19"/>
    </row>
    <row r="13" spans="1:7" s="24" customFormat="1" x14ac:dyDescent="0.2">
      <c r="A13" s="25" t="s">
        <v>45</v>
      </c>
      <c r="B13" s="23"/>
      <c r="C13" s="25"/>
      <c r="D13" s="21"/>
      <c r="E13" s="36"/>
      <c r="F13" s="19"/>
      <c r="G13" s="19"/>
    </row>
    <row r="14" spans="1:7" s="24" customFormat="1" x14ac:dyDescent="0.2">
      <c r="A14" s="25" t="s">
        <v>43</v>
      </c>
      <c r="B14" s="67"/>
      <c r="C14" s="25"/>
      <c r="D14" s="21"/>
      <c r="E14" s="25"/>
      <c r="F14" s="19"/>
      <c r="G14" s="19"/>
    </row>
    <row r="15" spans="1:7" s="24" customFormat="1" x14ac:dyDescent="0.2">
      <c r="A15" s="23" t="str">
        <f>Summery!H16</f>
        <v>Frostschutz</v>
      </c>
      <c r="B15" s="23"/>
      <c r="C15" s="27" t="s">
        <v>113</v>
      </c>
      <c r="D15" s="23" t="s">
        <v>112</v>
      </c>
      <c r="G15" s="19"/>
    </row>
    <row r="16" spans="1:7" s="24" customFormat="1" x14ac:dyDescent="0.2">
      <c r="A16" s="23" t="str">
        <f>Summery!I16</f>
        <v>Wärmeleitfähigkeit</v>
      </c>
      <c r="B16" s="23" t="str">
        <f>Summery!I18</f>
        <v>[Wm.K]</v>
      </c>
      <c r="C16" s="27">
        <v>2</v>
      </c>
      <c r="D16" s="23" t="s">
        <v>111</v>
      </c>
      <c r="G16" s="19"/>
    </row>
    <row r="17" spans="1:10" s="24" customFormat="1" x14ac:dyDescent="0.2">
      <c r="A17" s="23" t="str">
        <f>Summery!J16</f>
        <v>spez. Suspensionsmenge</v>
      </c>
      <c r="B17" s="23" t="str">
        <f>Summery!J18</f>
        <v>[l/kg]</v>
      </c>
      <c r="C17" s="43">
        <v>1</v>
      </c>
      <c r="D17" s="84" t="s">
        <v>110</v>
      </c>
      <c r="G17" s="19"/>
      <c r="J17" s="22"/>
    </row>
    <row r="18" spans="1:10" x14ac:dyDescent="0.2">
      <c r="A18" s="69" t="str">
        <f>Summery!J17</f>
        <v>(Susp.menge [l]/Feststoff-Menge [kg])</v>
      </c>
      <c r="D18" s="22"/>
    </row>
    <row r="19" spans="1:10" x14ac:dyDescent="0.2">
      <c r="A19" s="23" t="str">
        <f>Summery!K16</f>
        <v>Wasser- [l]/Feststoffwert [kg] (W/F-Wert)</v>
      </c>
      <c r="C19" s="22">
        <v>0.65</v>
      </c>
      <c r="D19" s="34" t="s">
        <v>109</v>
      </c>
    </row>
    <row r="20" spans="1:10" x14ac:dyDescent="0.2">
      <c r="A20" s="23" t="str">
        <f>Summery!L16</f>
        <v>Gewicht/Sack</v>
      </c>
      <c r="B20" s="23" t="str">
        <f>Summery!L18</f>
        <v>[kg]</v>
      </c>
      <c r="C20" s="28">
        <v>25</v>
      </c>
      <c r="D20" s="23" t="s">
        <v>108</v>
      </c>
      <c r="G20" s="22" t="s">
        <v>107</v>
      </c>
    </row>
    <row r="21" spans="1:10" x14ac:dyDescent="0.2">
      <c r="A21" s="23" t="str">
        <f>Summery!M16</f>
        <v>Suspensionsdichte</v>
      </c>
      <c r="B21" s="23" t="str">
        <f>Summery!M18</f>
        <v>[kg/m3]</v>
      </c>
      <c r="C21" s="73" t="s">
        <v>66</v>
      </c>
      <c r="D21" s="82"/>
    </row>
    <row r="22" spans="1:10" x14ac:dyDescent="0.2">
      <c r="A22" s="23"/>
      <c r="C22" s="23"/>
      <c r="E22" s="35"/>
      <c r="F22" s="83"/>
    </row>
    <row r="23" spans="1:10" s="24" customFormat="1" x14ac:dyDescent="0.2">
      <c r="A23" s="20" t="str">
        <f>Summery!D16</f>
        <v>Feststoff-Menge</v>
      </c>
      <c r="B23" s="67" t="str">
        <f>Summery!D18</f>
        <v>[kg]</v>
      </c>
      <c r="C23" s="31">
        <f>Calc!G20/$C$17</f>
        <v>942.47779607693792</v>
      </c>
      <c r="D23" s="146"/>
      <c r="E23" s="153"/>
    </row>
    <row r="24" spans="1:10" s="24" customFormat="1" x14ac:dyDescent="0.2">
      <c r="A24" s="20" t="str">
        <f>Summery!E16</f>
        <v>Zugabemenge Wasser</v>
      </c>
      <c r="B24" s="67" t="str">
        <f>Summery!E18</f>
        <v>[l]</v>
      </c>
      <c r="C24" s="31">
        <f>$C$19*C23</f>
        <v>612.61056745000963</v>
      </c>
      <c r="D24" s="146"/>
      <c r="E24" s="31"/>
      <c r="F24" s="31"/>
      <c r="G24" s="31"/>
    </row>
    <row r="25" spans="1:10" s="24" customFormat="1" x14ac:dyDescent="0.2">
      <c r="A25" s="20" t="str">
        <f>Summery!F16</f>
        <v>Säcke</v>
      </c>
      <c r="B25" s="145" t="str">
        <f>Summery!F18</f>
        <v>[Stk]</v>
      </c>
      <c r="C25" s="31">
        <f>C23/$C$20</f>
        <v>37.699111843077517</v>
      </c>
      <c r="D25" s="146"/>
    </row>
    <row r="26" spans="1:10" s="24" customFormat="1" x14ac:dyDescent="0.2">
      <c r="A26" s="20" t="str">
        <f>Summery!G16</f>
        <v>Suspensionsmenge</v>
      </c>
      <c r="B26" s="145" t="str">
        <f>Summery!G18</f>
        <v>[kg]</v>
      </c>
      <c r="D26" s="151"/>
      <c r="F26" s="149"/>
    </row>
    <row r="27" spans="1:10" x14ac:dyDescent="0.2">
      <c r="A27" s="65" t="str">
        <f>Summery!N16</f>
        <v>Minimal notwendiger Prüfdruck</v>
      </c>
      <c r="B27" s="61" t="str">
        <f>Summery!N18</f>
        <v>[bar]</v>
      </c>
      <c r="C27" s="65"/>
      <c r="D27" s="74"/>
      <c r="E27" s="65"/>
      <c r="F27" s="65"/>
      <c r="G27" s="65"/>
    </row>
    <row r="28" spans="1:10" x14ac:dyDescent="0.2">
      <c r="A28" s="68" t="s">
        <v>98</v>
      </c>
      <c r="B28" s="70"/>
    </row>
    <row r="29" spans="1:10" x14ac:dyDescent="0.2">
      <c r="A29" s="69" t="str">
        <f>"basiert auf "&amp;A21</f>
        <v>basiert auf Suspensionsdichte</v>
      </c>
      <c r="B29" s="70" t="str">
        <f>B21</f>
        <v>[kg/m3]</v>
      </c>
      <c r="C29" s="77" t="str">
        <f>C21</f>
        <v>keine Angaben</v>
      </c>
    </row>
    <row r="30" spans="1:10" x14ac:dyDescent="0.2">
      <c r="A30" s="69" t="str">
        <f>"und "&amp;Summery!A13</f>
        <v>und Tiefe der Bohrung</v>
      </c>
      <c r="B30" s="78" t="str">
        <f>Calc!G9</f>
        <v>m</v>
      </c>
      <c r="C30" s="72">
        <f>Calc!F9</f>
        <v>150</v>
      </c>
    </row>
    <row r="32" spans="1:10" x14ac:dyDescent="0.2">
      <c r="A32" s="37"/>
      <c r="B32" s="37"/>
    </row>
    <row r="36" spans="1:1" x14ac:dyDescent="0.2">
      <c r="A36" s="27"/>
    </row>
  </sheetData>
  <hyperlinks>
    <hyperlink ref="C11" r:id="rId1"/>
    <hyperlink ref="C9" r:id="rId2"/>
  </hyperlinks>
  <pageMargins left="0.7" right="0.7" top="0.78740157499999996" bottom="0.78740157499999996" header="0.3" footer="0.3"/>
  <pageSetup paperSize="9" orientation="landscape" r:id="rId3"/>
  <headerFooter>
    <oddHeader>&amp;L&amp;8erdsondenoptimierung.ch&amp;C&amp;8Bohrlochvolumen und Hinterfüllmaterial-Mengen - StüwathermZ&amp;R&amp;8Seite &amp;P</oddHeader>
    <oddFooter>&amp;L&amp;8&amp;D&amp;C&amp;8ZHAW ¦ Institut für Facility Management&amp;R&amp;8R. Mantel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opLeftCell="A13" zoomScaleNormal="100" workbookViewId="0">
      <selection activeCell="A27" sqref="A27:B27"/>
    </sheetView>
  </sheetViews>
  <sheetFormatPr baseColWidth="10" defaultColWidth="36.85546875" defaultRowHeight="12.75" x14ac:dyDescent="0.2"/>
  <cols>
    <col min="1" max="1" width="38.42578125" style="22" bestFit="1" customWidth="1"/>
    <col min="2" max="2" width="8" style="23" bestFit="1" customWidth="1"/>
    <col min="3" max="3" width="38.42578125" style="22" bestFit="1" customWidth="1"/>
    <col min="4" max="4" width="8" style="21" bestFit="1" customWidth="1"/>
    <col min="5" max="6" width="20.42578125" style="22" customWidth="1"/>
    <col min="7" max="7" width="24.42578125" style="22" customWidth="1"/>
    <col min="8" max="16384" width="36.85546875" style="22"/>
  </cols>
  <sheetData>
    <row r="2" spans="1:10" x14ac:dyDescent="0.2">
      <c r="A2" s="49" t="s">
        <v>23</v>
      </c>
      <c r="C2" s="15"/>
    </row>
    <row r="3" spans="1:10" x14ac:dyDescent="0.2">
      <c r="A3" s="16" t="s">
        <v>90</v>
      </c>
    </row>
    <row r="5" spans="1:10" x14ac:dyDescent="0.2">
      <c r="A5" s="47"/>
      <c r="B5" s="66"/>
      <c r="C5" s="75"/>
      <c r="D5" s="18"/>
      <c r="E5" s="17"/>
      <c r="F5" s="17"/>
      <c r="G5" s="17"/>
    </row>
    <row r="6" spans="1:10" s="24" customFormat="1" x14ac:dyDescent="0.2">
      <c r="A6" s="23" t="s">
        <v>24</v>
      </c>
      <c r="B6" s="23"/>
      <c r="C6" s="22" t="s">
        <v>141</v>
      </c>
      <c r="D6" s="21"/>
      <c r="F6" s="19"/>
      <c r="G6" s="19"/>
    </row>
    <row r="7" spans="1:10" s="24" customFormat="1" x14ac:dyDescent="0.2">
      <c r="A7" s="23"/>
      <c r="B7" s="23"/>
      <c r="C7" s="22" t="s">
        <v>142</v>
      </c>
      <c r="D7" s="21"/>
      <c r="F7" s="19"/>
      <c r="G7" s="19"/>
    </row>
    <row r="8" spans="1:10" s="24" customFormat="1" x14ac:dyDescent="0.2">
      <c r="A8" s="23"/>
      <c r="B8" s="23"/>
      <c r="C8" s="22"/>
      <c r="D8" s="21"/>
      <c r="F8" s="19"/>
      <c r="G8" s="19"/>
    </row>
    <row r="9" spans="1:10" s="24" customFormat="1" x14ac:dyDescent="0.2">
      <c r="A9" s="23"/>
      <c r="B9" s="23"/>
      <c r="C9" s="89" t="s">
        <v>150</v>
      </c>
      <c r="D9" s="21"/>
      <c r="F9" s="19"/>
      <c r="G9" s="19"/>
    </row>
    <row r="10" spans="1:10" s="24" customFormat="1" x14ac:dyDescent="0.2">
      <c r="A10" s="46" t="s">
        <v>99</v>
      </c>
      <c r="B10" s="23"/>
      <c r="C10" s="22"/>
      <c r="D10" s="21"/>
      <c r="F10" s="19"/>
      <c r="G10" s="19"/>
    </row>
    <row r="11" spans="1:10" s="24" customFormat="1" x14ac:dyDescent="0.2">
      <c r="A11" s="25" t="s">
        <v>122</v>
      </c>
      <c r="B11" s="23"/>
      <c r="C11" s="26" t="s">
        <v>116</v>
      </c>
      <c r="D11" s="21"/>
      <c r="F11" s="19"/>
      <c r="G11" s="19"/>
    </row>
    <row r="12" spans="1:10" s="24" customFormat="1" x14ac:dyDescent="0.2">
      <c r="A12" s="25" t="s">
        <v>115</v>
      </c>
      <c r="B12" s="23"/>
      <c r="C12" s="26" t="s">
        <v>121</v>
      </c>
      <c r="D12" s="21"/>
      <c r="F12" s="19"/>
      <c r="G12" s="19"/>
    </row>
    <row r="13" spans="1:10" s="24" customFormat="1" x14ac:dyDescent="0.2">
      <c r="A13" s="25"/>
      <c r="B13" s="23"/>
      <c r="C13" s="25"/>
      <c r="D13" s="21"/>
      <c r="E13" s="83"/>
      <c r="F13" s="19"/>
      <c r="G13" s="19"/>
    </row>
    <row r="14" spans="1:10" s="24" customFormat="1" x14ac:dyDescent="0.2">
      <c r="A14" s="25"/>
      <c r="B14" s="67"/>
      <c r="G14" s="19"/>
    </row>
    <row r="15" spans="1:10" s="24" customFormat="1" x14ac:dyDescent="0.2">
      <c r="A15" s="23" t="str">
        <f>Summery!H16</f>
        <v>Frostschutz</v>
      </c>
      <c r="B15" s="23"/>
      <c r="C15" s="27" t="s">
        <v>120</v>
      </c>
      <c r="D15" s="23" t="s">
        <v>112</v>
      </c>
      <c r="G15" s="19"/>
    </row>
    <row r="16" spans="1:10" s="24" customFormat="1" x14ac:dyDescent="0.2">
      <c r="A16" s="23" t="str">
        <f>Summery!I16</f>
        <v>Wärmeleitfähigkeit</v>
      </c>
      <c r="B16" s="23" t="str">
        <f>Summery!I18</f>
        <v>[Wm.K]</v>
      </c>
      <c r="C16" s="27">
        <v>1.5</v>
      </c>
      <c r="D16" s="23" t="s">
        <v>31</v>
      </c>
      <c r="G16" s="19"/>
      <c r="J16" s="22"/>
    </row>
    <row r="17" spans="1:7" x14ac:dyDescent="0.2">
      <c r="A17" s="23" t="str">
        <f>Summery!J16</f>
        <v>spez. Suspensionsmenge</v>
      </c>
      <c r="B17" s="23" t="str">
        <f>Summery!J18</f>
        <v>[l/kg]</v>
      </c>
      <c r="C17" s="43">
        <f>1000/1088</f>
        <v>0.91911764705882348</v>
      </c>
      <c r="D17" s="84" t="s">
        <v>119</v>
      </c>
    </row>
    <row r="18" spans="1:7" x14ac:dyDescent="0.2">
      <c r="A18" s="69" t="str">
        <f>Summery!J17</f>
        <v>(Susp.menge [l]/Feststoff-Menge [kg])</v>
      </c>
      <c r="D18" s="22"/>
    </row>
    <row r="19" spans="1:7" x14ac:dyDescent="0.2">
      <c r="A19" s="23" t="str">
        <f>Summery!K16</f>
        <v>Wasser- [l]/Feststoffwert [kg] (W/F-Wert)</v>
      </c>
      <c r="C19" s="22">
        <v>0.55000000000000004</v>
      </c>
      <c r="D19" s="23" t="s">
        <v>31</v>
      </c>
      <c r="G19" s="22" t="s">
        <v>107</v>
      </c>
    </row>
    <row r="20" spans="1:7" x14ac:dyDescent="0.2">
      <c r="A20" s="23" t="str">
        <f>Summery!L16</f>
        <v>Gewicht/Sack</v>
      </c>
      <c r="B20" s="23" t="str">
        <f>Summery!L18</f>
        <v>[kg]</v>
      </c>
      <c r="C20" s="28">
        <v>25</v>
      </c>
      <c r="D20" s="58" t="s">
        <v>118</v>
      </c>
    </row>
    <row r="21" spans="1:7" x14ac:dyDescent="0.2">
      <c r="A21" s="23" t="str">
        <f>Summery!M16</f>
        <v>Suspensionsdichte</v>
      </c>
      <c r="B21" s="23" t="str">
        <f>Summery!M18</f>
        <v>[kg/m3]</v>
      </c>
      <c r="C21" s="29">
        <v>1680</v>
      </c>
      <c r="D21" s="23" t="s">
        <v>31</v>
      </c>
    </row>
    <row r="22" spans="1:7" x14ac:dyDescent="0.2">
      <c r="A22" s="23"/>
      <c r="C22" s="29"/>
      <c r="D22" s="83"/>
    </row>
    <row r="23" spans="1:7" s="24" customFormat="1" x14ac:dyDescent="0.2">
      <c r="A23" s="20" t="str">
        <f>Summery!D16</f>
        <v>Feststoff-Menge</v>
      </c>
      <c r="B23" s="67" t="str">
        <f>Summery!D18</f>
        <v>[kg]</v>
      </c>
      <c r="C23" s="31">
        <f>Calc!G20/$C$17</f>
        <v>1025.4158421317086</v>
      </c>
      <c r="D23" s="146"/>
      <c r="E23" s="154"/>
      <c r="F23" s="30"/>
      <c r="G23" s="155"/>
    </row>
    <row r="24" spans="1:7" s="24" customFormat="1" x14ac:dyDescent="0.2">
      <c r="A24" s="20" t="str">
        <f>Summery!E16</f>
        <v>Zugabemenge Wasser</v>
      </c>
      <c r="B24" s="67" t="str">
        <f>Summery!E18</f>
        <v>[l]</v>
      </c>
      <c r="C24" s="31">
        <f>$C$19*C23</f>
        <v>563.97871317243983</v>
      </c>
      <c r="D24" s="146"/>
    </row>
    <row r="25" spans="1:7" s="24" customFormat="1" x14ac:dyDescent="0.2">
      <c r="A25" s="20" t="str">
        <f>Summery!F16</f>
        <v>Säcke</v>
      </c>
      <c r="B25" s="145" t="str">
        <f>Summery!F18</f>
        <v>[Stk]</v>
      </c>
      <c r="C25" s="31">
        <f>C23/$C$20</f>
        <v>41.016633685268346</v>
      </c>
      <c r="D25" s="146"/>
    </row>
    <row r="26" spans="1:7" s="24" customFormat="1" x14ac:dyDescent="0.2">
      <c r="A26" s="20" t="str">
        <f>Summery!G16</f>
        <v>Suspensionsmenge</v>
      </c>
      <c r="B26" s="145" t="str">
        <f>Summery!G18</f>
        <v>[kg]</v>
      </c>
      <c r="C26" s="31">
        <f>Calc!F20*$C$21</f>
        <v>1583.3626974092558</v>
      </c>
      <c r="F26" s="149"/>
    </row>
    <row r="27" spans="1:7" x14ac:dyDescent="0.2">
      <c r="A27" s="65" t="str">
        <f>Summery!N16</f>
        <v>Minimal notwendiger Prüfdruck</v>
      </c>
      <c r="B27" s="61" t="str">
        <f>Summery!N18</f>
        <v>[bar]</v>
      </c>
      <c r="C27" s="65">
        <v>16</v>
      </c>
      <c r="D27" s="74"/>
      <c r="E27" s="65"/>
      <c r="F27" s="65"/>
      <c r="G27" s="65"/>
    </row>
    <row r="28" spans="1:7" x14ac:dyDescent="0.2">
      <c r="A28" s="68" t="s">
        <v>98</v>
      </c>
      <c r="B28" s="70"/>
    </row>
    <row r="29" spans="1:7" x14ac:dyDescent="0.2">
      <c r="A29" s="69" t="str">
        <f>"basiert auf "&amp;A21</f>
        <v>basiert auf Suspensionsdichte</v>
      </c>
      <c r="B29" s="70" t="str">
        <f>B21</f>
        <v>[kg/m3]</v>
      </c>
      <c r="C29" s="77">
        <f>C21</f>
        <v>1680</v>
      </c>
    </row>
    <row r="30" spans="1:7" x14ac:dyDescent="0.2">
      <c r="A30" s="69" t="str">
        <f>"und "&amp;Summery!A13</f>
        <v>und Tiefe der Bohrung</v>
      </c>
      <c r="B30" s="78" t="str">
        <f>Calc!G9</f>
        <v>m</v>
      </c>
      <c r="C30" s="72">
        <f>Calc!F9</f>
        <v>150</v>
      </c>
    </row>
    <row r="32" spans="1:7" x14ac:dyDescent="0.2">
      <c r="A32" s="37"/>
      <c r="B32" s="37"/>
    </row>
    <row r="36" spans="1:1" x14ac:dyDescent="0.2">
      <c r="A36" s="27"/>
    </row>
  </sheetData>
  <hyperlinks>
    <hyperlink ref="C11" r:id="rId1"/>
    <hyperlink ref="C12" r:id="rId2"/>
    <hyperlink ref="C9" r:id="rId3"/>
  </hyperlinks>
  <pageMargins left="0.7" right="0.7" top="0.78740157499999996" bottom="0.78740157499999996" header="0.3" footer="0.3"/>
  <pageSetup paperSize="9" orientation="landscape" r:id="rId4"/>
  <headerFooter>
    <oddHeader>&amp;L&amp;8erdsondenoptimierung.ch&amp;C&amp;8Bohrlochvolumen und Hinterfüllmaterial-Mengen - Stüwapress F-10&amp;R&amp;8Seite &amp;P</oddHeader>
    <oddFooter>&amp;L&amp;8&amp;D&amp;C&amp;8ZHAW ¦ Institut für Facility Management&amp;R&amp;8R. Mantel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opLeftCell="A10" zoomScaleNormal="100" workbookViewId="0">
      <selection activeCell="A37" sqref="A37"/>
    </sheetView>
  </sheetViews>
  <sheetFormatPr baseColWidth="10" defaultColWidth="36.85546875" defaultRowHeight="12.75" x14ac:dyDescent="0.2"/>
  <cols>
    <col min="1" max="1" width="38.42578125" style="22" bestFit="1" customWidth="1"/>
    <col min="2" max="2" width="8" style="23" bestFit="1" customWidth="1"/>
    <col min="3" max="3" width="22.28515625" style="22" customWidth="1"/>
    <col min="4" max="4" width="8" style="21" bestFit="1" customWidth="1"/>
    <col min="5" max="6" width="20.42578125" style="22" customWidth="1"/>
    <col min="7" max="7" width="24.42578125" style="22" customWidth="1"/>
    <col min="8" max="16384" width="36.85546875" style="22"/>
  </cols>
  <sheetData>
    <row r="2" spans="1:7" x14ac:dyDescent="0.2">
      <c r="A2" s="49" t="s">
        <v>23</v>
      </c>
      <c r="C2" s="15"/>
    </row>
    <row r="3" spans="1:7" x14ac:dyDescent="0.2">
      <c r="A3" s="16" t="s">
        <v>76</v>
      </c>
    </row>
    <row r="5" spans="1:7" x14ac:dyDescent="0.2">
      <c r="A5" s="47"/>
      <c r="B5" s="66"/>
      <c r="C5" s="75"/>
      <c r="D5" s="18"/>
      <c r="E5" s="17"/>
      <c r="F5" s="17"/>
      <c r="G5" s="17"/>
    </row>
    <row r="6" spans="1:7" s="24" customFormat="1" x14ac:dyDescent="0.2">
      <c r="A6" s="23" t="s">
        <v>24</v>
      </c>
      <c r="B6" s="23"/>
      <c r="C6" s="22" t="s">
        <v>136</v>
      </c>
      <c r="D6" s="21"/>
      <c r="F6" s="19"/>
      <c r="G6" s="19"/>
    </row>
    <row r="7" spans="1:7" s="24" customFormat="1" x14ac:dyDescent="0.2">
      <c r="A7" s="23"/>
      <c r="B7" s="23"/>
      <c r="C7" s="22" t="s">
        <v>135</v>
      </c>
      <c r="D7" s="21"/>
      <c r="F7" s="19"/>
      <c r="G7" s="19"/>
    </row>
    <row r="8" spans="1:7" s="24" customFormat="1" x14ac:dyDescent="0.2">
      <c r="A8" s="23"/>
      <c r="B8" s="23"/>
      <c r="C8" s="22" t="s">
        <v>137</v>
      </c>
      <c r="D8" s="21"/>
      <c r="F8" s="19"/>
      <c r="G8" s="19"/>
    </row>
    <row r="9" spans="1:7" s="24" customFormat="1" x14ac:dyDescent="0.2">
      <c r="A9" s="23"/>
      <c r="B9" s="23"/>
      <c r="C9" s="22" t="s">
        <v>148</v>
      </c>
      <c r="D9" s="21"/>
      <c r="F9" s="19"/>
      <c r="G9" s="19"/>
    </row>
    <row r="10" spans="1:7" s="24" customFormat="1" x14ac:dyDescent="0.2">
      <c r="A10" s="46" t="s">
        <v>99</v>
      </c>
      <c r="B10" s="23"/>
      <c r="C10" s="22"/>
      <c r="D10" s="21"/>
      <c r="F10" s="19"/>
      <c r="G10" s="19"/>
    </row>
    <row r="11" spans="1:7" s="24" customFormat="1" x14ac:dyDescent="0.2">
      <c r="A11" s="25" t="s">
        <v>100</v>
      </c>
      <c r="B11" s="23"/>
      <c r="C11" s="26"/>
      <c r="D11" s="21"/>
      <c r="F11" s="19"/>
      <c r="G11" s="19"/>
    </row>
    <row r="12" spans="1:7" s="24" customFormat="1" x14ac:dyDescent="0.2">
      <c r="A12" s="25" t="s">
        <v>63</v>
      </c>
      <c r="B12" s="23"/>
      <c r="C12" s="36" t="s">
        <v>74</v>
      </c>
      <c r="D12" s="21"/>
      <c r="F12" s="19"/>
      <c r="G12" s="19"/>
    </row>
    <row r="13" spans="1:7" s="24" customFormat="1" x14ac:dyDescent="0.2">
      <c r="A13" s="25"/>
      <c r="B13" s="23"/>
      <c r="C13" s="25"/>
      <c r="D13" s="21"/>
      <c r="E13" s="52"/>
      <c r="F13" s="31"/>
      <c r="G13" s="31"/>
    </row>
    <row r="14" spans="1:7" s="24" customFormat="1" x14ac:dyDescent="0.2">
      <c r="A14" s="25"/>
      <c r="B14" s="67"/>
      <c r="C14" s="25"/>
      <c r="D14" s="21"/>
      <c r="E14" s="25"/>
      <c r="F14" s="19"/>
      <c r="G14" s="19"/>
    </row>
    <row r="15" spans="1:7" s="24" customFormat="1" x14ac:dyDescent="0.2">
      <c r="A15" s="23" t="str">
        <f>Summery!H16</f>
        <v>Frostschutz</v>
      </c>
      <c r="B15" s="23"/>
      <c r="C15" s="27" t="s">
        <v>75</v>
      </c>
      <c r="D15" s="23" t="s">
        <v>105</v>
      </c>
      <c r="G15" s="19"/>
    </row>
    <row r="16" spans="1:7" s="24" customFormat="1" x14ac:dyDescent="0.2">
      <c r="A16" s="23" t="str">
        <f>Summery!I16</f>
        <v>Wärmeleitfähigkeit</v>
      </c>
      <c r="B16" s="23" t="str">
        <f>Summery!I18</f>
        <v>[Wm.K]</v>
      </c>
      <c r="C16" s="27" t="s">
        <v>77</v>
      </c>
      <c r="D16" s="23" t="s">
        <v>78</v>
      </c>
      <c r="G16" s="19"/>
    </row>
    <row r="17" spans="1:10" s="24" customFormat="1" x14ac:dyDescent="0.2">
      <c r="A17" s="23" t="str">
        <f>Summery!J16</f>
        <v>spez. Suspensionsmenge</v>
      </c>
      <c r="B17" s="23" t="str">
        <f>Summery!J18</f>
        <v>[l/kg]</v>
      </c>
      <c r="C17" s="81">
        <v>1</v>
      </c>
      <c r="D17" s="34" t="s">
        <v>106</v>
      </c>
      <c r="G17" s="19"/>
    </row>
    <row r="18" spans="1:10" s="24" customFormat="1" x14ac:dyDescent="0.2">
      <c r="A18" s="69" t="str">
        <f>Summery!J17</f>
        <v>(Susp.menge [l]/Feststoff-Menge [kg])</v>
      </c>
      <c r="B18" s="23"/>
      <c r="C18" s="22"/>
      <c r="D18" s="22"/>
      <c r="G18" s="19"/>
      <c r="J18" s="22"/>
    </row>
    <row r="19" spans="1:10" x14ac:dyDescent="0.2">
      <c r="A19" s="23" t="str">
        <f>Summery!K16</f>
        <v>Wasser- [l]/Feststoffwert [kg] (W/F-Wert)</v>
      </c>
      <c r="C19" s="27">
        <v>0.6</v>
      </c>
      <c r="D19" s="34" t="s">
        <v>81</v>
      </c>
    </row>
    <row r="20" spans="1:10" x14ac:dyDescent="0.2">
      <c r="A20" s="23" t="str">
        <f>Summery!L16</f>
        <v>Gewicht/Sack</v>
      </c>
      <c r="B20" s="23" t="str">
        <f>Summery!L18</f>
        <v>[kg]</v>
      </c>
      <c r="C20" s="28">
        <v>25</v>
      </c>
      <c r="D20" s="23" t="s">
        <v>79</v>
      </c>
    </row>
    <row r="21" spans="1:10" x14ac:dyDescent="0.2">
      <c r="A21" s="23" t="str">
        <f>Summery!M16</f>
        <v>Suspensionsdichte</v>
      </c>
      <c r="B21" s="23" t="str">
        <f>Summery!M18</f>
        <v>[kg/m3]</v>
      </c>
      <c r="C21" s="29">
        <v>1100</v>
      </c>
      <c r="D21" s="23" t="s">
        <v>80</v>
      </c>
    </row>
    <row r="22" spans="1:10" x14ac:dyDescent="0.2">
      <c r="A22" s="23"/>
    </row>
    <row r="23" spans="1:10" s="24" customFormat="1" x14ac:dyDescent="0.2">
      <c r="A23" s="20" t="str">
        <f>Summery!D16</f>
        <v>Feststoff-Menge</v>
      </c>
      <c r="B23" s="67" t="str">
        <f>Summery!D18</f>
        <v>[kg]</v>
      </c>
      <c r="C23" s="31">
        <f>Calc!G20/$C$17</f>
        <v>942.47779607693792</v>
      </c>
      <c r="D23" s="146"/>
      <c r="E23" s="152"/>
      <c r="F23" s="53"/>
    </row>
    <row r="24" spans="1:10" s="24" customFormat="1" x14ac:dyDescent="0.2">
      <c r="A24" s="20" t="str">
        <f>Summery!E16</f>
        <v>Zugabemenge Wasser</v>
      </c>
      <c r="B24" s="67" t="str">
        <f>Summery!E18</f>
        <v>[l]</v>
      </c>
      <c r="C24" s="31">
        <f>$C$19*C23</f>
        <v>565.48667764616278</v>
      </c>
      <c r="D24" s="146"/>
    </row>
    <row r="25" spans="1:10" s="24" customFormat="1" x14ac:dyDescent="0.2">
      <c r="A25" s="20" t="str">
        <f>Summery!F16</f>
        <v>Säcke</v>
      </c>
      <c r="B25" s="145" t="str">
        <f>Summery!F18</f>
        <v>[Stk]</v>
      </c>
      <c r="C25" s="31">
        <f>C23/$C$20</f>
        <v>37.699111843077517</v>
      </c>
      <c r="D25" s="151"/>
    </row>
    <row r="26" spans="1:10" s="24" customFormat="1" x14ac:dyDescent="0.2">
      <c r="A26" s="20" t="str">
        <f>Summery!G16</f>
        <v>Suspensionsmenge</v>
      </c>
      <c r="B26" s="145" t="str">
        <f>Summery!G18</f>
        <v>[kg]</v>
      </c>
      <c r="C26" s="31">
        <f>Calc!F20*$C$21</f>
        <v>1036.7255756846316</v>
      </c>
      <c r="F26" s="149"/>
    </row>
    <row r="27" spans="1:10" x14ac:dyDescent="0.2">
      <c r="A27" s="65" t="str">
        <f>Summery!N16</f>
        <v>Minimal notwendiger Prüfdruck</v>
      </c>
      <c r="B27" s="61" t="str">
        <f>Summery!N18</f>
        <v>[bar]</v>
      </c>
      <c r="C27" s="65">
        <v>9</v>
      </c>
      <c r="D27" s="74"/>
      <c r="E27" s="65"/>
      <c r="F27" s="65"/>
      <c r="G27" s="65"/>
    </row>
    <row r="28" spans="1:10" x14ac:dyDescent="0.2">
      <c r="A28" s="68" t="s">
        <v>98</v>
      </c>
      <c r="B28" s="70"/>
    </row>
    <row r="29" spans="1:10" x14ac:dyDescent="0.2">
      <c r="A29" s="69" t="str">
        <f>"basiert auf "&amp;A21</f>
        <v>basiert auf Suspensionsdichte</v>
      </c>
      <c r="B29" s="70" t="str">
        <f>B21</f>
        <v>[kg/m3]</v>
      </c>
      <c r="C29" s="77">
        <f>C21</f>
        <v>1100</v>
      </c>
    </row>
    <row r="30" spans="1:10" x14ac:dyDescent="0.2">
      <c r="A30" s="69" t="str">
        <f>"und "&amp;Summery!A13</f>
        <v>und Tiefe der Bohrung</v>
      </c>
      <c r="B30" s="78" t="str">
        <f>Calc!G9</f>
        <v>m</v>
      </c>
      <c r="C30" s="72">
        <f>Calc!F9</f>
        <v>150</v>
      </c>
    </row>
    <row r="32" spans="1:10" x14ac:dyDescent="0.2">
      <c r="A32" s="37"/>
      <c r="B32" s="37"/>
    </row>
    <row r="36" spans="1:1" x14ac:dyDescent="0.2">
      <c r="A36" s="27"/>
    </row>
  </sheetData>
  <hyperlinks>
    <hyperlink ref="C12" r:id="rId1"/>
  </hyperlinks>
  <pageMargins left="0.7" right="0.7" top="0.78740157499999996" bottom="0.78740157499999996" header="0.3" footer="0.3"/>
  <pageSetup paperSize="9" orientation="landscape" r:id="rId2"/>
  <headerFooter>
    <oddHeader>&amp;L&amp;8erdsondenoptimierung.ch&amp;C&amp;8Bohrlochvolumen und Hinterfüllmaterial-Mengen - K-Injekt-Therm&amp;R&amp;8Seite &amp;P</oddHeader>
    <oddFooter>&amp;L&amp;8&amp;D&amp;C&amp;8ZHAW ¦ Institut für Facility Management&amp;R&amp;8R. Mantel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2"/>
  <sheetViews>
    <sheetView zoomScaleNormal="100" workbookViewId="0">
      <selection activeCell="A4" sqref="A4"/>
    </sheetView>
  </sheetViews>
  <sheetFormatPr baseColWidth="10" defaultColWidth="70.28515625" defaultRowHeight="18" x14ac:dyDescent="0.2"/>
  <cols>
    <col min="1" max="1" width="72.85546875" style="175" customWidth="1"/>
    <col min="2" max="16384" width="70.28515625" style="175"/>
  </cols>
  <sheetData>
    <row r="2" spans="1:1" x14ac:dyDescent="0.2">
      <c r="A2" s="174" t="s">
        <v>205</v>
      </c>
    </row>
    <row r="3" spans="1:1" ht="65.099999999999994" customHeight="1" x14ac:dyDescent="0.2"/>
    <row r="4" spans="1:1" ht="54" x14ac:dyDescent="0.2">
      <c r="A4" s="176" t="str">
        <f>"Anleitung "&amp;Tool!A3</f>
        <v>Anleitung Tool - Bohrlochvolumen und Hinterfüllmaterial-Mengen (Fertigmischungen, trocken)</v>
      </c>
    </row>
    <row r="6" spans="1:1" ht="72" x14ac:dyDescent="0.2">
      <c r="A6" s="177" t="s">
        <v>199</v>
      </c>
    </row>
    <row r="7" spans="1:1" x14ac:dyDescent="0.2">
      <c r="A7" s="177"/>
    </row>
    <row r="8" spans="1:1" ht="108" x14ac:dyDescent="0.2">
      <c r="A8" s="177" t="s">
        <v>200</v>
      </c>
    </row>
    <row r="9" spans="1:1" x14ac:dyDescent="0.2">
      <c r="A9" s="177"/>
    </row>
    <row r="10" spans="1:1" ht="90" x14ac:dyDescent="0.2">
      <c r="A10" s="177" t="s">
        <v>203</v>
      </c>
    </row>
    <row r="11" spans="1:1" x14ac:dyDescent="0.2">
      <c r="A11" s="177"/>
    </row>
    <row r="12" spans="1:1" ht="54" x14ac:dyDescent="0.2">
      <c r="A12" s="177" t="s">
        <v>201</v>
      </c>
    </row>
    <row r="13" spans="1:1" x14ac:dyDescent="0.2">
      <c r="A13" s="177"/>
    </row>
    <row r="14" spans="1:1" ht="72" x14ac:dyDescent="0.2">
      <c r="A14" s="177" t="s">
        <v>204</v>
      </c>
    </row>
    <row r="15" spans="1:1" ht="65.099999999999994" customHeight="1" x14ac:dyDescent="0.2"/>
    <row r="16" spans="1:1" x14ac:dyDescent="0.2">
      <c r="A16" s="176" t="s">
        <v>184</v>
      </c>
    </row>
    <row r="17" spans="1:1" x14ac:dyDescent="0.25">
      <c r="A17" s="178" t="str">
        <f>Summery!A2</f>
        <v>www.erdsondenoptimierung.ch</v>
      </c>
    </row>
    <row r="18" spans="1:1" x14ac:dyDescent="0.2">
      <c r="A18" s="177"/>
    </row>
    <row r="19" spans="1:1" x14ac:dyDescent="0.2">
      <c r="A19" s="177"/>
    </row>
    <row r="20" spans="1:1" x14ac:dyDescent="0.2">
      <c r="A20" s="177"/>
    </row>
    <row r="21" spans="1:1" x14ac:dyDescent="0.2">
      <c r="A21" s="179"/>
    </row>
    <row r="22" spans="1:1" x14ac:dyDescent="0.2">
      <c r="A22" s="179"/>
    </row>
  </sheetData>
  <printOptions horizontalCentered="1"/>
  <pageMargins left="0.70866141732283472" right="0.70866141732283472" top="0.78740157480314965" bottom="0.78740157480314965" header="0.31496062992125984" footer="0.31496062992125984"/>
  <pageSetup paperSize="8" scale="72" orientation="portrait" r:id="rId1"/>
  <headerFooter>
    <oddHeader>&amp;L&amp;8www.erdsondenoptimierung.ch&amp;C&amp;8Anleitung Berechnung Hinterfüllmaterial-Mengen&amp;R&amp;8Seite &amp;P</oddHeader>
    <oddFooter>&amp;L&amp;8&amp;D&amp;C&amp;8ZHAW ¦ Institut für Facility Management&amp;R&amp;8M. Hubbuch ¦ R. Mantel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9"/>
  <sheetViews>
    <sheetView topLeftCell="A10" zoomScale="95" zoomScaleNormal="95" zoomScaleSheetLayoutView="75" workbookViewId="0">
      <selection activeCell="G43" sqref="G43"/>
    </sheetView>
  </sheetViews>
  <sheetFormatPr baseColWidth="10" defaultColWidth="22.85546875" defaultRowHeight="12.75" x14ac:dyDescent="0.2"/>
  <cols>
    <col min="1" max="1" width="19.42578125" style="41" customWidth="1"/>
    <col min="2" max="2" width="34" style="11" bestFit="1" customWidth="1"/>
    <col min="3" max="3" width="22.7109375" bestFit="1" customWidth="1"/>
    <col min="4" max="4" width="32.42578125" bestFit="1" customWidth="1"/>
    <col min="5" max="5" width="24.5703125" bestFit="1" customWidth="1"/>
    <col min="6" max="6" width="7.85546875" bestFit="1" customWidth="1"/>
    <col min="7" max="7" width="22" bestFit="1" customWidth="1"/>
    <col min="8" max="8" width="34.5703125" style="59" bestFit="1" customWidth="1"/>
    <col min="9" max="9" width="22.7109375" customWidth="1"/>
    <col min="10" max="10" width="30.7109375" customWidth="1"/>
    <col min="11" max="11" width="45.28515625" customWidth="1"/>
    <col min="12" max="12" width="16.42578125" customWidth="1"/>
    <col min="13" max="13" width="22.85546875" customWidth="1"/>
    <col min="14" max="14" width="34.42578125" customWidth="1"/>
    <col min="15" max="15" width="124.7109375" bestFit="1" customWidth="1"/>
  </cols>
  <sheetData>
    <row r="2" spans="1:15" x14ac:dyDescent="0.2">
      <c r="A2" s="93" t="s">
        <v>202</v>
      </c>
    </row>
    <row r="3" spans="1:15" x14ac:dyDescent="0.2">
      <c r="A3" s="39" t="s">
        <v>170</v>
      </c>
    </row>
    <row r="5" spans="1:15" x14ac:dyDescent="0.2">
      <c r="A5" s="110" t="s">
        <v>198</v>
      </c>
    </row>
    <row r="6" spans="1:15" x14ac:dyDescent="0.2">
      <c r="A6" s="111" t="s">
        <v>197</v>
      </c>
    </row>
    <row r="7" spans="1:15" x14ac:dyDescent="0.2">
      <c r="A7" s="111"/>
    </row>
    <row r="8" spans="1:15" x14ac:dyDescent="0.2">
      <c r="A8" s="4" t="s">
        <v>171</v>
      </c>
      <c r="B8" s="91"/>
    </row>
    <row r="9" spans="1:15" x14ac:dyDescent="0.2">
      <c r="A9" s="4" t="s">
        <v>172</v>
      </c>
      <c r="B9" s="92"/>
    </row>
    <row r="11" spans="1:15" x14ac:dyDescent="0.2">
      <c r="A11" s="4" t="str">
        <f>Calc!A7</f>
        <v>Anzahl Bohrungen</v>
      </c>
      <c r="B11" s="142">
        <f>Tool!C11</f>
        <v>1</v>
      </c>
      <c r="C11" s="53"/>
      <c r="D11" s="141" t="s">
        <v>178</v>
      </c>
      <c r="E11" s="140" t="s">
        <v>0</v>
      </c>
      <c r="F11" s="56">
        <f>Calc!F12</f>
        <v>1.1309733552923255E-2</v>
      </c>
      <c r="G11" s="34" t="str">
        <f>Calc!G12</f>
        <v>m2</v>
      </c>
    </row>
    <row r="12" spans="1:15" x14ac:dyDescent="0.2">
      <c r="A12" s="4" t="str">
        <f>Calc!A8</f>
        <v>Durchmesser der Bohrung</v>
      </c>
      <c r="B12" s="142">
        <f>Tool!C12</f>
        <v>0.12</v>
      </c>
      <c r="C12" s="53" t="str">
        <f>Calc!G8</f>
        <v>m</v>
      </c>
      <c r="D12" s="141" t="s">
        <v>179</v>
      </c>
      <c r="E12" s="140" t="s">
        <v>6</v>
      </c>
      <c r="F12" s="56">
        <f>Calc!F15</f>
        <v>1.6964600329384882</v>
      </c>
      <c r="G12" s="34" t="str">
        <f>Calc!G15</f>
        <v>m3</v>
      </c>
    </row>
    <row r="13" spans="1:15" x14ac:dyDescent="0.2">
      <c r="A13" s="4" t="str">
        <f>Calc!A9</f>
        <v>Tiefe der Bohrung</v>
      </c>
      <c r="B13" s="142">
        <f>Tool!C13</f>
        <v>150</v>
      </c>
      <c r="C13" s="53" t="str">
        <f>Calc!G9</f>
        <v>m</v>
      </c>
      <c r="D13" s="141" t="s">
        <v>180</v>
      </c>
      <c r="E13" s="140" t="s">
        <v>188</v>
      </c>
      <c r="F13" s="12">
        <f>Calc!F20</f>
        <v>0.94247779607693793</v>
      </c>
      <c r="G13" s="34" t="str">
        <f>Calc!F19</f>
        <v>m3</v>
      </c>
      <c r="L13" s="12"/>
    </row>
    <row r="14" spans="1:15" x14ac:dyDescent="0.2">
      <c r="A14" s="4" t="str">
        <f>Calc!A10</f>
        <v>Durchmesser PE-Erdsondenrohr</v>
      </c>
      <c r="B14" s="142">
        <f>Tool!C14</f>
        <v>40</v>
      </c>
      <c r="C14" s="8" t="s">
        <v>176</v>
      </c>
      <c r="D14" s="141" t="s">
        <v>181</v>
      </c>
      <c r="E14" s="4" t="str">
        <f>Calc!G24</f>
        <v>bei 4 Rohren/Bohrung</v>
      </c>
      <c r="F14" s="34"/>
      <c r="G14" s="55"/>
      <c r="L14" s="12"/>
    </row>
    <row r="15" spans="1:15" s="60" customFormat="1" x14ac:dyDescent="0.2">
      <c r="A15" s="58"/>
      <c r="C15" s="90"/>
    </row>
    <row r="16" spans="1:15" s="60" customFormat="1" x14ac:dyDescent="0.2">
      <c r="A16" s="115" t="s">
        <v>143</v>
      </c>
      <c r="B16" s="116" t="str">
        <f>ThermoCem!A6</f>
        <v>Hersteller</v>
      </c>
      <c r="C16" s="117" t="s">
        <v>185</v>
      </c>
      <c r="D16" s="134" t="s">
        <v>95</v>
      </c>
      <c r="E16" s="134" t="s">
        <v>22</v>
      </c>
      <c r="F16" s="96" t="s">
        <v>35</v>
      </c>
      <c r="G16" s="96" t="s">
        <v>20</v>
      </c>
      <c r="H16" s="134" t="s">
        <v>25</v>
      </c>
      <c r="I16" s="134" t="s">
        <v>21</v>
      </c>
      <c r="J16" s="134" t="s">
        <v>93</v>
      </c>
      <c r="K16" s="134" t="s">
        <v>194</v>
      </c>
      <c r="L16" s="134" t="s">
        <v>9</v>
      </c>
      <c r="M16" s="134" t="s">
        <v>10</v>
      </c>
      <c r="N16" s="96" t="s">
        <v>27</v>
      </c>
      <c r="O16" s="96" t="s">
        <v>151</v>
      </c>
    </row>
    <row r="17" spans="1:15" s="60" customFormat="1" x14ac:dyDescent="0.2">
      <c r="A17" s="118"/>
      <c r="B17" s="95"/>
      <c r="C17" s="114" t="s">
        <v>186</v>
      </c>
      <c r="D17" s="135"/>
      <c r="E17" s="135"/>
      <c r="F17" s="101"/>
      <c r="G17" s="101"/>
      <c r="H17" s="136"/>
      <c r="I17" s="97"/>
      <c r="J17" s="97" t="s">
        <v>96</v>
      </c>
      <c r="K17" s="97"/>
      <c r="L17" s="97"/>
      <c r="M17" s="97"/>
      <c r="N17" s="100"/>
      <c r="O17" s="97"/>
    </row>
    <row r="18" spans="1:15" s="60" customFormat="1" x14ac:dyDescent="0.2">
      <c r="A18" s="118"/>
      <c r="B18" s="95"/>
      <c r="C18" s="95"/>
      <c r="D18" s="97" t="s">
        <v>8</v>
      </c>
      <c r="E18" s="97" t="s">
        <v>7</v>
      </c>
      <c r="F18" s="97" t="s">
        <v>11</v>
      </c>
      <c r="G18" s="97" t="s">
        <v>8</v>
      </c>
      <c r="H18" s="136"/>
      <c r="I18" s="97" t="s">
        <v>92</v>
      </c>
      <c r="J18" s="97" t="s">
        <v>18</v>
      </c>
      <c r="K18" s="97"/>
      <c r="L18" s="97" t="s">
        <v>8</v>
      </c>
      <c r="M18" s="97" t="s">
        <v>19</v>
      </c>
      <c r="N18" s="97" t="s">
        <v>28</v>
      </c>
      <c r="O18" s="97"/>
    </row>
    <row r="19" spans="1:15" s="60" customFormat="1" x14ac:dyDescent="0.2">
      <c r="A19" s="98" t="str">
        <f>ThermoCem!$A$3</f>
        <v>ThermoCem Plus</v>
      </c>
      <c r="B19" s="119" t="str">
        <f>ThermoCem!$C$6</f>
        <v>HeidelbergCement</v>
      </c>
      <c r="C19" s="119" t="s">
        <v>152</v>
      </c>
      <c r="D19" s="157">
        <f>ThermoCem!$C$23</f>
        <v>760.06273877172418</v>
      </c>
      <c r="E19" s="157">
        <f>ThermoCem!$C$24</f>
        <v>608.05019101737935</v>
      </c>
      <c r="F19" s="131">
        <f>ThermoCem!$C$25</f>
        <v>30.402509550868967</v>
      </c>
      <c r="G19" s="131">
        <f>ThermoCem!$C$26</f>
        <v>1376.0175822723295</v>
      </c>
      <c r="H19" s="102" t="str">
        <f>ThermoCem!$C$15</f>
        <v>ja</v>
      </c>
      <c r="I19" s="103" t="str">
        <f>ThermoCem!$C$16</f>
        <v>» 2.0</v>
      </c>
      <c r="J19" s="104">
        <f>ThermoCem!$C$17</f>
        <v>1.24</v>
      </c>
      <c r="K19" s="105">
        <f>ThermoCem!$C$19</f>
        <v>0.8</v>
      </c>
      <c r="L19" s="106">
        <f>ThermoCem!$C$20</f>
        <v>25</v>
      </c>
      <c r="M19" s="107">
        <f>ThermoCem!$C$21</f>
        <v>1460</v>
      </c>
      <c r="N19" s="158">
        <f>ThermoCem!C27</f>
        <v>13</v>
      </c>
      <c r="O19" s="120" t="str">
        <f>ThermoCem!C11</f>
        <v>http://www.heidelbergcement.com/de/de/geotechnik/produkte/thermocem/index.htm</v>
      </c>
    </row>
    <row r="20" spans="1:15" s="60" customFormat="1" x14ac:dyDescent="0.2">
      <c r="A20" s="99"/>
      <c r="B20" s="88" t="str">
        <f>ThermoCem!$C$7</f>
        <v>Baustoffe für Geotechnik</v>
      </c>
      <c r="C20" s="88" t="s">
        <v>153</v>
      </c>
      <c r="D20" s="108"/>
      <c r="E20" s="108"/>
      <c r="F20" s="108"/>
      <c r="G20" s="108"/>
      <c r="H20" s="108"/>
      <c r="I20" s="108"/>
      <c r="J20" s="108"/>
      <c r="K20" s="108"/>
      <c r="L20" s="108"/>
      <c r="M20" s="108"/>
      <c r="N20" s="132" t="s">
        <v>98</v>
      </c>
      <c r="O20" s="121"/>
    </row>
    <row r="21" spans="1:15" s="60" customFormat="1" x14ac:dyDescent="0.2">
      <c r="A21" s="99"/>
      <c r="B21" s="88" t="str">
        <f>ThermoCem!$C$8</f>
        <v xml:space="preserve">D-59320 Ennigerloh </v>
      </c>
      <c r="C21" s="88" t="s">
        <v>154</v>
      </c>
      <c r="D21" s="108"/>
      <c r="E21" s="108"/>
      <c r="F21" s="108"/>
      <c r="G21" s="108"/>
      <c r="H21" s="108"/>
      <c r="I21" s="108"/>
      <c r="J21" s="108"/>
      <c r="K21" s="108"/>
      <c r="L21" s="108"/>
      <c r="M21" s="108"/>
      <c r="N21" s="133" t="str">
        <f>"basiert auf "&amp;$M$16&amp;" = "&amp;M19&amp;" "&amp;$M$18</f>
        <v>basiert auf Suspensionsdichte = 1460 [kg/m3]</v>
      </c>
      <c r="O21" s="121"/>
    </row>
    <row r="22" spans="1:15" s="60" customFormat="1" x14ac:dyDescent="0.2">
      <c r="A22" s="99"/>
      <c r="B22" s="88" t="str">
        <f>ThermoCem!$C$9</f>
        <v>www.heidelbergcement.de</v>
      </c>
      <c r="C22" s="88" t="s">
        <v>155</v>
      </c>
      <c r="D22" s="108"/>
      <c r="E22" s="108"/>
      <c r="F22" s="108"/>
      <c r="G22" s="108"/>
      <c r="H22" s="108"/>
      <c r="I22" s="108"/>
      <c r="J22" s="108"/>
      <c r="K22" s="108"/>
      <c r="L22" s="108"/>
      <c r="M22" s="108"/>
      <c r="N22" s="133" t="str">
        <f>"und "&amp;$A$13&amp;" = "&amp;$B$13&amp;" "&amp;$C$13</f>
        <v>und Tiefe der Bohrung = 150 m</v>
      </c>
      <c r="O22" s="121"/>
    </row>
    <row r="23" spans="1:15" s="60" customFormat="1" x14ac:dyDescent="0.2">
      <c r="A23" s="99"/>
      <c r="B23" s="20"/>
      <c r="C23" s="88" t="s">
        <v>156</v>
      </c>
      <c r="D23" s="108"/>
      <c r="E23" s="108"/>
      <c r="F23" s="108"/>
      <c r="G23" s="108"/>
      <c r="H23" s="108"/>
      <c r="I23" s="108"/>
      <c r="J23" s="108"/>
      <c r="K23" s="108"/>
      <c r="L23" s="108"/>
      <c r="M23" s="108"/>
      <c r="N23" s="108"/>
      <c r="O23" s="121"/>
    </row>
    <row r="24" spans="1:15" s="60" customFormat="1" x14ac:dyDescent="0.2">
      <c r="A24" s="99"/>
      <c r="B24" s="20"/>
      <c r="C24" s="122" t="s">
        <v>161</v>
      </c>
      <c r="D24" s="108"/>
      <c r="E24" s="108"/>
      <c r="F24" s="108"/>
      <c r="G24" s="108"/>
      <c r="H24" s="108"/>
      <c r="I24" s="108"/>
      <c r="J24" s="108"/>
      <c r="K24" s="108"/>
      <c r="L24" s="108"/>
      <c r="M24" s="108"/>
      <c r="N24" s="108"/>
      <c r="O24" s="121"/>
    </row>
    <row r="25" spans="1:15" s="60" customFormat="1" x14ac:dyDescent="0.2">
      <c r="A25" s="98" t="str">
        <f>EWM!$A$3</f>
        <v>EWM Füllbinder</v>
      </c>
      <c r="B25" s="119" t="str">
        <f>EWM!$C$6</f>
        <v>Schwenk Zement KG</v>
      </c>
      <c r="C25" s="119" t="s">
        <v>157</v>
      </c>
      <c r="D25" s="157">
        <f>EWM!$C$23</f>
        <v>1346.3968515384829</v>
      </c>
      <c r="E25" s="157">
        <f>EWM!$C$24</f>
        <v>444.3109610076994</v>
      </c>
      <c r="F25" s="131">
        <f>EWM!$C$25</f>
        <v>53.855874061539318</v>
      </c>
      <c r="G25" s="131">
        <f>EWM!$C$26</f>
        <v>1790.7078125461821</v>
      </c>
      <c r="H25" s="102" t="str">
        <f>EWM!$C$15</f>
        <v>ja</v>
      </c>
      <c r="I25" s="109">
        <f>EWM!$C$16</f>
        <v>2.3199999999999998</v>
      </c>
      <c r="J25" s="104">
        <f>EWM!$C$17</f>
        <v>0.7</v>
      </c>
      <c r="K25" s="105">
        <f>EWM!$C$19</f>
        <v>0.33</v>
      </c>
      <c r="L25" s="106">
        <f>EWM!$C$20</f>
        <v>25</v>
      </c>
      <c r="M25" s="107">
        <f>EWM!$C$21</f>
        <v>1900</v>
      </c>
      <c r="N25" s="158">
        <f>EWM!C27</f>
        <v>16</v>
      </c>
      <c r="O25" s="120" t="str">
        <f>EWM!C12</f>
        <v>http://www.schwenk-zement.de/aktuelles/broschueren-infomaterial/Produkte/Spezialbindemittel/Fuellbinder_EWM/SWZ_TM_Fuellbinder_EWM.pdf</v>
      </c>
    </row>
    <row r="26" spans="1:15" s="60" customFormat="1" x14ac:dyDescent="0.2">
      <c r="A26" s="99"/>
      <c r="B26" s="88" t="str">
        <f>EWM!$C$7</f>
        <v>D-89028 Ulm/Donau</v>
      </c>
      <c r="C26" s="88" t="s">
        <v>158</v>
      </c>
      <c r="D26" s="108"/>
      <c r="E26" s="108"/>
      <c r="F26" s="108"/>
      <c r="G26" s="108"/>
      <c r="H26" s="108"/>
      <c r="I26" s="108"/>
      <c r="J26" s="108"/>
      <c r="K26" s="108"/>
      <c r="L26" s="108"/>
      <c r="M26" s="108"/>
      <c r="N26" s="132" t="str">
        <f>$N$20</f>
        <v>aus SIA 384/6, Seite 34, Tabelle 4</v>
      </c>
      <c r="O26" s="121"/>
    </row>
    <row r="27" spans="1:15" s="60" customFormat="1" x14ac:dyDescent="0.2">
      <c r="A27" s="99"/>
      <c r="B27" s="88"/>
      <c r="C27" s="87" t="s">
        <v>159</v>
      </c>
      <c r="D27" s="108"/>
      <c r="E27" s="108"/>
      <c r="F27" s="108"/>
      <c r="G27" s="108"/>
      <c r="H27" s="108"/>
      <c r="I27" s="108"/>
      <c r="J27" s="108"/>
      <c r="K27" s="108"/>
      <c r="L27" s="108"/>
      <c r="M27" s="108"/>
      <c r="N27" s="133" t="str">
        <f>"basiert auf "&amp;$M$16&amp;" = "&amp;M25&amp;" "&amp;$M$18</f>
        <v>basiert auf Suspensionsdichte = 1900 [kg/m3]</v>
      </c>
      <c r="O27" s="121"/>
    </row>
    <row r="28" spans="1:15" s="60" customFormat="1" x14ac:dyDescent="0.2">
      <c r="A28" s="99"/>
      <c r="B28" s="88" t="str">
        <f>EWM!$C$9</f>
        <v>www.schwenk-zement.de</v>
      </c>
      <c r="C28" s="88" t="s">
        <v>160</v>
      </c>
      <c r="D28" s="108"/>
      <c r="E28" s="108"/>
      <c r="F28" s="108"/>
      <c r="G28" s="108"/>
      <c r="H28" s="108"/>
      <c r="I28" s="108"/>
      <c r="J28" s="108"/>
      <c r="K28" s="108"/>
      <c r="L28" s="108"/>
      <c r="M28" s="108"/>
      <c r="N28" s="133" t="str">
        <f>$N$22</f>
        <v>und Tiefe der Bohrung = 150 m</v>
      </c>
      <c r="O28" s="121"/>
    </row>
    <row r="29" spans="1:15" s="60" customFormat="1" x14ac:dyDescent="0.2">
      <c r="A29" s="99"/>
      <c r="B29" s="20"/>
      <c r="C29" s="20"/>
      <c r="D29" s="108"/>
      <c r="E29" s="108"/>
      <c r="F29" s="108"/>
      <c r="G29" s="108"/>
      <c r="H29" s="108"/>
      <c r="I29" s="108"/>
      <c r="J29" s="108"/>
      <c r="K29" s="108"/>
      <c r="L29" s="108"/>
      <c r="M29" s="108"/>
      <c r="N29" s="108"/>
      <c r="O29" s="121"/>
    </row>
    <row r="30" spans="1:15" s="60" customFormat="1" x14ac:dyDescent="0.2">
      <c r="A30" s="99"/>
      <c r="B30" s="20"/>
      <c r="C30" s="20"/>
      <c r="D30" s="108"/>
      <c r="E30" s="108"/>
      <c r="F30" s="108"/>
      <c r="G30" s="108"/>
      <c r="H30" s="108"/>
      <c r="I30" s="108"/>
      <c r="J30" s="108"/>
      <c r="K30" s="108"/>
      <c r="L30" s="108"/>
      <c r="M30" s="108"/>
      <c r="N30" s="108"/>
      <c r="O30" s="121"/>
    </row>
    <row r="31" spans="1:15" s="60" customFormat="1" x14ac:dyDescent="0.2">
      <c r="A31" s="98" t="str">
        <f>Calidutherm!$A$3</f>
        <v>Callidutherm</v>
      </c>
      <c r="B31" s="119" t="str">
        <f>Calidutherm!$C$6</f>
        <v>Terra Calidus GmbH, D-07546 Gera</v>
      </c>
      <c r="C31" s="123"/>
      <c r="D31" s="157">
        <f>Calidutherm!$C$23</f>
        <v>972.63708555139999</v>
      </c>
      <c r="E31" s="157">
        <f>Calidutherm!$C$24</f>
        <v>583.58225133083999</v>
      </c>
      <c r="F31" s="131">
        <f>Calidutherm!$C$25</f>
        <v>38.905483422056001</v>
      </c>
      <c r="G31" s="131">
        <f>Calidutherm!$C$26</f>
        <v>1555.0883635269477</v>
      </c>
      <c r="H31" s="102" t="str">
        <f>Calidutherm!$C$15</f>
        <v>ja</v>
      </c>
      <c r="I31" s="102" t="str">
        <f>Calidutherm!$C$16</f>
        <v>ca. 2</v>
      </c>
      <c r="J31" s="104">
        <f>Calidutherm!$C$17</f>
        <v>0.96899224806201545</v>
      </c>
      <c r="K31" s="105">
        <f>Calidutherm!$C$19</f>
        <v>0.6</v>
      </c>
      <c r="L31" s="106">
        <f>Calidutherm!$C$20</f>
        <v>25</v>
      </c>
      <c r="M31" s="107">
        <f>Calidutherm!$C$21</f>
        <v>1650</v>
      </c>
      <c r="N31" s="158">
        <f>Calidutherm!C27</f>
        <v>16</v>
      </c>
      <c r="O31" s="120" t="str">
        <f>Calidutherm!C12</f>
        <v>http://www.terra-calidus.de/media/produkte/verpressmittel/pdf/Technisches%20Datenblatt%20%20Calidutherm%20090209.pdf</v>
      </c>
    </row>
    <row r="32" spans="1:15" s="60" customFormat="1" x14ac:dyDescent="0.2">
      <c r="A32" s="99"/>
      <c r="B32" s="88" t="str">
        <f>Calidutherm!$C$7</f>
        <v>dornburger zement GmbH &amp; Co.</v>
      </c>
      <c r="C32" s="88" t="s">
        <v>162</v>
      </c>
      <c r="D32" s="108"/>
      <c r="E32" s="108"/>
      <c r="F32" s="108"/>
      <c r="G32" s="108"/>
      <c r="H32" s="108"/>
      <c r="I32" s="108"/>
      <c r="J32" s="108"/>
      <c r="K32" s="108"/>
      <c r="L32" s="108"/>
      <c r="M32" s="108"/>
      <c r="N32" s="132" t="str">
        <f>$N$20</f>
        <v>aus SIA 384/6, Seite 34, Tabelle 4</v>
      </c>
      <c r="O32" s="121"/>
    </row>
    <row r="33" spans="1:15" s="60" customFormat="1" x14ac:dyDescent="0.2">
      <c r="A33" s="99"/>
      <c r="B33" s="88" t="str">
        <f>Calidutherm!$C$8</f>
        <v xml:space="preserve">D-07778 Dorndorf </v>
      </c>
      <c r="C33" s="88" t="s">
        <v>165</v>
      </c>
      <c r="D33" s="108"/>
      <c r="E33" s="108"/>
      <c r="F33" s="108"/>
      <c r="G33" s="108"/>
      <c r="H33" s="108"/>
      <c r="I33" s="108"/>
      <c r="J33" s="108"/>
      <c r="K33" s="108"/>
      <c r="L33" s="108"/>
      <c r="M33" s="108"/>
      <c r="N33" s="133" t="str">
        <f>"basiert auf "&amp;$M$16&amp;" = "&amp;M31&amp;" "&amp;$M$18</f>
        <v>basiert auf Suspensionsdichte = 1650 [kg/m3]</v>
      </c>
      <c r="O33" s="121"/>
    </row>
    <row r="34" spans="1:15" s="60" customFormat="1" x14ac:dyDescent="0.2">
      <c r="A34" s="99"/>
      <c r="B34" s="88" t="str">
        <f>Calidutherm!$C$9</f>
        <v>www.terra-calidus.de</v>
      </c>
      <c r="C34" s="124"/>
      <c r="D34" s="108"/>
      <c r="E34" s="108"/>
      <c r="F34" s="108"/>
      <c r="G34" s="108"/>
      <c r="H34" s="108"/>
      <c r="I34" s="108"/>
      <c r="J34" s="108"/>
      <c r="K34" s="108"/>
      <c r="L34" s="108"/>
      <c r="M34" s="108"/>
      <c r="N34" s="133" t="str">
        <f>$N$22</f>
        <v>und Tiefe der Bohrung = 150 m</v>
      </c>
      <c r="O34" s="121"/>
    </row>
    <row r="35" spans="1:15" s="60" customFormat="1" x14ac:dyDescent="0.2">
      <c r="A35" s="99"/>
      <c r="B35" s="20"/>
      <c r="C35" s="124"/>
      <c r="D35" s="108"/>
      <c r="E35" s="108"/>
      <c r="F35" s="108"/>
      <c r="G35" s="108"/>
      <c r="H35" s="108"/>
      <c r="I35" s="108"/>
      <c r="J35" s="108"/>
      <c r="K35" s="108"/>
      <c r="L35" s="108"/>
      <c r="M35" s="108"/>
      <c r="N35" s="108"/>
      <c r="O35" s="121"/>
    </row>
    <row r="36" spans="1:15" s="60" customFormat="1" x14ac:dyDescent="0.2">
      <c r="A36" s="99"/>
      <c r="B36" s="20"/>
      <c r="C36" s="124"/>
      <c r="D36" s="108"/>
      <c r="E36" s="108"/>
      <c r="F36" s="108"/>
      <c r="G36" s="108"/>
      <c r="H36" s="108"/>
      <c r="I36" s="108"/>
      <c r="J36" s="108"/>
      <c r="K36" s="108"/>
      <c r="L36" s="108"/>
      <c r="M36" s="108"/>
      <c r="N36" s="108"/>
      <c r="O36" s="121"/>
    </row>
    <row r="37" spans="1:15" s="60" customFormat="1" x14ac:dyDescent="0.2">
      <c r="A37" s="98" t="str">
        <f>HDG!$A$3</f>
        <v>HDG</v>
      </c>
      <c r="B37" s="119" t="str">
        <f>HDG!$C$6</f>
        <v>HDG Umelttechnik GmbH</v>
      </c>
      <c r="C37" s="123"/>
      <c r="D37" s="157">
        <f>HDG!$C$23</f>
        <v>1178.0972450961724</v>
      </c>
      <c r="E37" s="157">
        <f>HDG!$C$24</f>
        <v>518.36278784231581</v>
      </c>
      <c r="F37" s="131">
        <f>HDG!$C$25</f>
        <v>47.123889803846893</v>
      </c>
      <c r="G37" s="131">
        <f>HDG!$C$26</f>
        <v>1687.035254977719</v>
      </c>
      <c r="H37" s="102" t="str">
        <f>HDG!$C$15</f>
        <v>ja</v>
      </c>
      <c r="I37" s="109" t="str">
        <f>HDG!$C$16</f>
        <v>&gt;= 2</v>
      </c>
      <c r="J37" s="104">
        <f>HDG!$C$17</f>
        <v>0.8</v>
      </c>
      <c r="K37" s="105">
        <f>HDG!$C$19</f>
        <v>0.44</v>
      </c>
      <c r="L37" s="106">
        <f>HDG!$C$20</f>
        <v>25</v>
      </c>
      <c r="M37" s="107">
        <f>HDG!$C$21</f>
        <v>1790</v>
      </c>
      <c r="N37" s="158">
        <f>HDG!C27</f>
        <v>16</v>
      </c>
      <c r="O37" s="120" t="str">
        <f>HDG!C11</f>
        <v>http://www.hdg-umwelttechnik.com/de/pdf/verpressmaterialien/HDG-Thermo-Datenblatt-0310.pdf</v>
      </c>
    </row>
    <row r="38" spans="1:15" s="60" customFormat="1" x14ac:dyDescent="0.2">
      <c r="A38" s="99"/>
      <c r="B38" s="88" t="str">
        <f>HDG!$C$7</f>
        <v>Stolzenseeweg 1</v>
      </c>
      <c r="C38" s="88" t="s">
        <v>162</v>
      </c>
      <c r="D38" s="108"/>
      <c r="E38" s="108"/>
      <c r="F38" s="108"/>
      <c r="G38" s="108"/>
      <c r="H38" s="108"/>
      <c r="I38" s="108"/>
      <c r="J38" s="108"/>
      <c r="K38" s="108"/>
      <c r="L38" s="108"/>
      <c r="M38" s="108"/>
      <c r="N38" s="132" t="str">
        <f>$N$20</f>
        <v>aus SIA 384/6, Seite 34, Tabelle 4</v>
      </c>
      <c r="O38" s="121"/>
    </row>
    <row r="39" spans="1:15" s="60" customFormat="1" x14ac:dyDescent="0.2">
      <c r="A39" s="99"/>
      <c r="B39" s="88" t="str">
        <f>HDG!$C$8</f>
        <v>D-88353 Kisslegg</v>
      </c>
      <c r="C39" s="88" t="s">
        <v>165</v>
      </c>
      <c r="D39" s="108"/>
      <c r="E39" s="108"/>
      <c r="F39" s="108"/>
      <c r="G39" s="108"/>
      <c r="H39" s="108"/>
      <c r="I39" s="108"/>
      <c r="J39" s="108"/>
      <c r="K39" s="108"/>
      <c r="L39" s="108"/>
      <c r="M39" s="108"/>
      <c r="N39" s="133" t="str">
        <f>"basiert auf "&amp;$M$16&amp;" = "&amp;M37&amp;" "&amp;$M$18</f>
        <v>basiert auf Suspensionsdichte = 1790 [kg/m3]</v>
      </c>
      <c r="O39" s="121"/>
    </row>
    <row r="40" spans="1:15" s="60" customFormat="1" x14ac:dyDescent="0.2">
      <c r="A40" s="99"/>
      <c r="B40" s="88" t="str">
        <f>HDG!$C$9</f>
        <v>www.hdg-umwelttechnik.com</v>
      </c>
      <c r="C40" s="88" t="s">
        <v>163</v>
      </c>
      <c r="D40" s="108"/>
      <c r="E40" s="108"/>
      <c r="F40" s="108"/>
      <c r="G40" s="108"/>
      <c r="H40" s="108"/>
      <c r="I40" s="108"/>
      <c r="J40" s="108"/>
      <c r="K40" s="108"/>
      <c r="L40" s="108"/>
      <c r="M40" s="108"/>
      <c r="N40" s="133" t="str">
        <f>$N$22</f>
        <v>und Tiefe der Bohrung = 150 m</v>
      </c>
      <c r="O40" s="121"/>
    </row>
    <row r="41" spans="1:15" s="60" customFormat="1" x14ac:dyDescent="0.2">
      <c r="A41" s="99"/>
      <c r="B41" s="20"/>
      <c r="C41" s="88"/>
      <c r="D41" s="108"/>
      <c r="E41" s="108"/>
      <c r="F41" s="108"/>
      <c r="G41" s="108"/>
      <c r="H41" s="108"/>
      <c r="I41" s="108"/>
      <c r="J41" s="108"/>
      <c r="K41" s="108"/>
      <c r="L41" s="108"/>
      <c r="M41" s="108"/>
      <c r="N41" s="108"/>
      <c r="O41" s="121"/>
    </row>
    <row r="42" spans="1:15" s="60" customFormat="1" x14ac:dyDescent="0.2">
      <c r="A42" s="99"/>
      <c r="B42" s="20"/>
      <c r="C42" s="88"/>
      <c r="D42" s="108"/>
      <c r="E42" s="108"/>
      <c r="F42" s="108"/>
      <c r="G42" s="108"/>
      <c r="H42" s="108"/>
      <c r="I42" s="108"/>
      <c r="J42" s="108"/>
      <c r="K42" s="108"/>
      <c r="L42" s="108"/>
      <c r="M42" s="108"/>
      <c r="N42" s="108"/>
      <c r="O42" s="121"/>
    </row>
    <row r="43" spans="1:15" s="60" customFormat="1" x14ac:dyDescent="0.2">
      <c r="A43" s="98" t="str">
        <f>Duritherm!$A$3</f>
        <v>Duritherm Plus</v>
      </c>
      <c r="B43" s="119" t="str">
        <f>Duritherm!$C$6</f>
        <v>Mapei Betontechnik GmbH</v>
      </c>
      <c r="C43" s="123"/>
      <c r="D43" s="157">
        <f>Duritherm!$C$23</f>
        <v>1131.4259256625905</v>
      </c>
      <c r="E43" s="157">
        <f>Duritherm!$C$24</f>
        <v>565.71296283129527</v>
      </c>
      <c r="F43" s="131">
        <f>Duritherm!$C$25</f>
        <v>45.257037026503625</v>
      </c>
      <c r="G43" s="131">
        <f>Duritherm!$C$26</f>
        <v>1130.9733552923256</v>
      </c>
      <c r="H43" s="102" t="str">
        <f>Duritherm!$C$15</f>
        <v>ja</v>
      </c>
      <c r="I43" s="102" t="str">
        <f>Duritherm!$C$16</f>
        <v>&gt; 2</v>
      </c>
      <c r="J43" s="104">
        <f>Duritherm!$C$17</f>
        <v>0.83299999999999996</v>
      </c>
      <c r="K43" s="105">
        <f>Duritherm!$C$19</f>
        <v>0.5</v>
      </c>
      <c r="L43" s="106">
        <f>Duritherm!$C$20</f>
        <v>25</v>
      </c>
      <c r="M43" s="107">
        <f>Duritherm!$C$21</f>
        <v>1200</v>
      </c>
      <c r="N43" s="158">
        <f>Duritherm!C27</f>
        <v>9</v>
      </c>
      <c r="O43" s="120" t="str">
        <f>Duritherm!C12</f>
        <v>http://www.mapei-betontechnik.at/0uploads/dateien270.pdf</v>
      </c>
    </row>
    <row r="44" spans="1:15" s="60" customFormat="1" x14ac:dyDescent="0.2">
      <c r="A44" s="99"/>
      <c r="B44" s="88" t="str">
        <f>Duritherm!$C$7</f>
        <v>Grazer Strasse 80</v>
      </c>
      <c r="C44" s="88" t="s">
        <v>166</v>
      </c>
      <c r="D44" s="108"/>
      <c r="E44" s="108"/>
      <c r="F44" s="108"/>
      <c r="G44" s="108"/>
      <c r="H44" s="108"/>
      <c r="I44" s="108"/>
      <c r="J44" s="108"/>
      <c r="K44" s="108"/>
      <c r="L44" s="108"/>
      <c r="M44" s="108"/>
      <c r="N44" s="132" t="str">
        <f>$N$20</f>
        <v>aus SIA 384/6, Seite 34, Tabelle 4</v>
      </c>
      <c r="O44" s="121"/>
    </row>
    <row r="45" spans="1:15" s="60" customFormat="1" x14ac:dyDescent="0.2">
      <c r="A45" s="99"/>
      <c r="B45" s="88" t="str">
        <f>Duritherm!$C$8</f>
        <v>A-8665 Langenwang</v>
      </c>
      <c r="C45" s="88" t="s">
        <v>167</v>
      </c>
      <c r="D45" s="108"/>
      <c r="E45" s="108"/>
      <c r="F45" s="108"/>
      <c r="G45" s="108"/>
      <c r="H45" s="108"/>
      <c r="I45" s="108"/>
      <c r="J45" s="108"/>
      <c r="K45" s="108"/>
      <c r="L45" s="108"/>
      <c r="M45" s="108"/>
      <c r="N45" s="133" t="str">
        <f>"basiert auf "&amp;$M$16&amp;" = "&amp;M43&amp;" "&amp;$M$18</f>
        <v>basiert auf Suspensionsdichte = 1200 [kg/m3]</v>
      </c>
      <c r="O45" s="121"/>
    </row>
    <row r="46" spans="1:15" s="60" customFormat="1" x14ac:dyDescent="0.2">
      <c r="A46" s="99"/>
      <c r="B46" s="88" t="str">
        <f>Duritherm!$C$9</f>
        <v>www.mapei-betontechnik.at</v>
      </c>
      <c r="C46" s="88" t="s">
        <v>168</v>
      </c>
      <c r="D46" s="108"/>
      <c r="E46" s="108"/>
      <c r="F46" s="108"/>
      <c r="G46" s="108"/>
      <c r="H46" s="108"/>
      <c r="I46" s="108"/>
      <c r="J46" s="108"/>
      <c r="K46" s="108"/>
      <c r="L46" s="108"/>
      <c r="M46" s="108"/>
      <c r="N46" s="133" t="str">
        <f>$N$22</f>
        <v>und Tiefe der Bohrung = 150 m</v>
      </c>
      <c r="O46" s="121"/>
    </row>
    <row r="47" spans="1:15" s="60" customFormat="1" x14ac:dyDescent="0.2">
      <c r="A47" s="99"/>
      <c r="B47" s="20"/>
      <c r="C47" s="88" t="s">
        <v>169</v>
      </c>
      <c r="D47" s="108"/>
      <c r="E47" s="108"/>
      <c r="F47" s="108"/>
      <c r="G47" s="108"/>
      <c r="H47" s="108"/>
      <c r="I47" s="108"/>
      <c r="J47" s="108"/>
      <c r="K47" s="108"/>
      <c r="L47" s="108"/>
      <c r="M47" s="108"/>
      <c r="N47" s="108"/>
      <c r="O47" s="121"/>
    </row>
    <row r="48" spans="1:15" s="60" customFormat="1" x14ac:dyDescent="0.2">
      <c r="A48" s="99"/>
      <c r="B48" s="20"/>
      <c r="C48" s="20"/>
      <c r="D48" s="108"/>
      <c r="E48" s="108"/>
      <c r="F48" s="108"/>
      <c r="G48" s="108"/>
      <c r="H48" s="108"/>
      <c r="I48" s="108"/>
      <c r="J48" s="108"/>
      <c r="K48" s="108"/>
      <c r="L48" s="108"/>
      <c r="M48" s="108"/>
      <c r="N48" s="108"/>
      <c r="O48" s="121"/>
    </row>
    <row r="49" spans="1:15" s="60" customFormat="1" x14ac:dyDescent="0.2">
      <c r="A49" s="98" t="str">
        <f>StüwathermZ!$A$3</f>
        <v>StüwathermZ</v>
      </c>
      <c r="B49" s="119" t="str">
        <f>StüwathermZ!$C$6</f>
        <v>STÜWA Konrad Stükerjürgen GmbH</v>
      </c>
      <c r="C49" s="123"/>
      <c r="D49" s="157">
        <f>StüwathermZ!$C$23</f>
        <v>942.47779607693792</v>
      </c>
      <c r="E49" s="157">
        <f>StüwathermZ!$C$24</f>
        <v>612.61056745000963</v>
      </c>
      <c r="F49" s="131">
        <f>StüwathermZ!$C$25</f>
        <v>37.699111843077517</v>
      </c>
      <c r="G49" s="131"/>
      <c r="H49" s="102" t="str">
        <f>StüwathermZ!$C$15</f>
        <v>mittel</v>
      </c>
      <c r="I49" s="109">
        <f>StüwathermZ!$C$16</f>
        <v>2</v>
      </c>
      <c r="J49" s="104">
        <f>StüwathermZ!$C$17</f>
        <v>1</v>
      </c>
      <c r="K49" s="105">
        <f>StüwathermZ!$C$19</f>
        <v>0.65</v>
      </c>
      <c r="L49" s="106">
        <f>StüwathermZ!$C$20</f>
        <v>25</v>
      </c>
      <c r="M49" s="107" t="str">
        <f>StüwathermZ!$C$21</f>
        <v>keine Angaben</v>
      </c>
      <c r="N49" s="158"/>
      <c r="O49" s="120" t="str">
        <f>StüwathermZ!C12</f>
        <v>http://www.stuewa.de/produkte/pdf/STUEWATHERM_DATENBLATT_041202.pdf</v>
      </c>
    </row>
    <row r="50" spans="1:15" s="60" customFormat="1" x14ac:dyDescent="0.2">
      <c r="A50" s="99"/>
      <c r="B50" s="88" t="str">
        <f>StüwathermZ!$C$7</f>
        <v>D-33397 Rietberg - Varensell</v>
      </c>
      <c r="C50" s="88" t="s">
        <v>162</v>
      </c>
      <c r="D50" s="108"/>
      <c r="E50" s="108"/>
      <c r="F50" s="108"/>
      <c r="G50" s="108"/>
      <c r="H50" s="108"/>
      <c r="I50" s="108"/>
      <c r="J50" s="108"/>
      <c r="K50" s="108"/>
      <c r="L50" s="108"/>
      <c r="M50" s="108"/>
      <c r="N50" s="132" t="str">
        <f>$N$20</f>
        <v>aus SIA 384/6, Seite 34, Tabelle 4</v>
      </c>
      <c r="O50" s="121"/>
    </row>
    <row r="51" spans="1:15" s="60" customFormat="1" x14ac:dyDescent="0.2">
      <c r="A51" s="99"/>
      <c r="B51" s="88"/>
      <c r="C51" s="88" t="s">
        <v>164</v>
      </c>
      <c r="D51" s="108"/>
      <c r="E51" s="108"/>
      <c r="F51" s="108"/>
      <c r="G51" s="108"/>
      <c r="H51" s="108"/>
      <c r="I51" s="108"/>
      <c r="J51" s="108"/>
      <c r="K51" s="108"/>
      <c r="L51" s="108"/>
      <c r="M51" s="108"/>
      <c r="N51" s="133" t="str">
        <f>"basiert auf "&amp;$M$16&amp;" = "&amp;M49&amp;" "&amp;$M$18</f>
        <v>basiert auf Suspensionsdichte = keine Angaben [kg/m3]</v>
      </c>
      <c r="O51" s="121"/>
    </row>
    <row r="52" spans="1:15" s="60" customFormat="1" x14ac:dyDescent="0.2">
      <c r="A52" s="99"/>
      <c r="B52" s="88" t="str">
        <f>StüwathermZ!$C$9</f>
        <v>www.stuewa.de</v>
      </c>
      <c r="C52" s="20"/>
      <c r="D52" s="108"/>
      <c r="E52" s="108"/>
      <c r="F52" s="108"/>
      <c r="G52" s="108"/>
      <c r="H52" s="108"/>
      <c r="I52" s="108"/>
      <c r="J52" s="108"/>
      <c r="K52" s="108"/>
      <c r="L52" s="108"/>
      <c r="M52" s="108"/>
      <c r="N52" s="133" t="str">
        <f>$N$22</f>
        <v>und Tiefe der Bohrung = 150 m</v>
      </c>
      <c r="O52" s="121"/>
    </row>
    <row r="53" spans="1:15" s="60" customFormat="1" x14ac:dyDescent="0.2">
      <c r="A53" s="99"/>
      <c r="B53" s="88"/>
      <c r="C53" s="20"/>
      <c r="D53" s="108"/>
      <c r="E53" s="108"/>
      <c r="F53" s="108"/>
      <c r="G53" s="108"/>
      <c r="H53" s="108"/>
      <c r="I53" s="108"/>
      <c r="J53" s="108"/>
      <c r="K53" s="108"/>
      <c r="L53" s="108"/>
      <c r="M53" s="108"/>
      <c r="N53" s="108"/>
      <c r="O53" s="121"/>
    </row>
    <row r="54" spans="1:15" s="60" customFormat="1" x14ac:dyDescent="0.2">
      <c r="A54" s="99"/>
      <c r="B54" s="88"/>
      <c r="C54" s="20"/>
      <c r="D54" s="108"/>
      <c r="E54" s="108"/>
      <c r="F54" s="108"/>
      <c r="G54" s="108"/>
      <c r="H54" s="108"/>
      <c r="I54" s="108"/>
      <c r="J54" s="108"/>
      <c r="K54" s="108"/>
      <c r="L54" s="108"/>
      <c r="M54" s="108"/>
      <c r="N54" s="108"/>
      <c r="O54" s="121"/>
    </row>
    <row r="55" spans="1:15" s="60" customFormat="1" x14ac:dyDescent="0.2">
      <c r="A55" s="98" t="str">
        <f>StüwapressF10!$A$3</f>
        <v>Stüwapress F-10</v>
      </c>
      <c r="B55" s="119" t="str">
        <f>StüwapressF10!$C$6</f>
        <v>STÜWA Konrad Stükerjürgen GmbH</v>
      </c>
      <c r="C55" s="123"/>
      <c r="D55" s="157">
        <f>StüwapressF10!$C$23</f>
        <v>1025.4158421317086</v>
      </c>
      <c r="E55" s="157">
        <f>StüwapressF10!$C$24</f>
        <v>563.97871317243983</v>
      </c>
      <c r="F55" s="131">
        <f>StüwapressF10!$C$25</f>
        <v>41.016633685268346</v>
      </c>
      <c r="G55" s="131">
        <f>StüwapressF10!$C$26</f>
        <v>1583.3626974092558</v>
      </c>
      <c r="H55" s="102" t="str">
        <f>StüwapressF10!$C$15</f>
        <v>hoch</v>
      </c>
      <c r="I55" s="102">
        <f>StüwapressF10!$C$16</f>
        <v>1.5</v>
      </c>
      <c r="J55" s="104">
        <f>StüwapressF10!$C$17</f>
        <v>0.91911764705882348</v>
      </c>
      <c r="K55" s="105">
        <f>StüwapressF10!$C$19</f>
        <v>0.55000000000000004</v>
      </c>
      <c r="L55" s="106">
        <f>StüwapressF10!$C$20</f>
        <v>25</v>
      </c>
      <c r="M55" s="107">
        <f>StüwapressF10!$C$21</f>
        <v>1680</v>
      </c>
      <c r="N55" s="158">
        <f>StüwapressF10!C27</f>
        <v>16</v>
      </c>
      <c r="O55" s="120" t="str">
        <f>StüwapressF10!C12</f>
        <v>http://www.stuewa.de/produkte/pdf/stuewapress_f-10_08-2010.pdf</v>
      </c>
    </row>
    <row r="56" spans="1:15" s="60" customFormat="1" x14ac:dyDescent="0.2">
      <c r="A56" s="99"/>
      <c r="B56" s="88" t="str">
        <f>StüwapressF10!$C$7</f>
        <v>D-33397 Rietberg - Varensell</v>
      </c>
      <c r="C56" s="88" t="s">
        <v>162</v>
      </c>
      <c r="D56" s="108"/>
      <c r="E56" s="108"/>
      <c r="F56" s="108"/>
      <c r="G56" s="108"/>
      <c r="H56" s="108"/>
      <c r="I56" s="108"/>
      <c r="J56" s="108"/>
      <c r="K56" s="108"/>
      <c r="L56" s="108"/>
      <c r="M56" s="108"/>
      <c r="N56" s="132" t="str">
        <f>$N$20</f>
        <v>aus SIA 384/6, Seite 34, Tabelle 4</v>
      </c>
      <c r="O56" s="121"/>
    </row>
    <row r="57" spans="1:15" s="60" customFormat="1" x14ac:dyDescent="0.2">
      <c r="A57" s="99"/>
      <c r="B57" s="88"/>
      <c r="C57" s="88" t="s">
        <v>164</v>
      </c>
      <c r="D57" s="121"/>
      <c r="E57" s="121"/>
      <c r="F57" s="121"/>
      <c r="G57" s="121"/>
      <c r="H57" s="121"/>
      <c r="I57" s="121"/>
      <c r="J57" s="121"/>
      <c r="K57" s="121"/>
      <c r="L57" s="121"/>
      <c r="M57" s="121"/>
      <c r="N57" s="133" t="str">
        <f>"basiert auf "&amp;$M$16&amp;" = "&amp;M55&amp;" "&amp;$M$18</f>
        <v>basiert auf Suspensionsdichte = 1680 [kg/m3]</v>
      </c>
      <c r="O57" s="121"/>
    </row>
    <row r="58" spans="1:15" s="60" customFormat="1" x14ac:dyDescent="0.2">
      <c r="A58" s="99"/>
      <c r="B58" s="88" t="str">
        <f>StüwapressF10!$C$9</f>
        <v>www.stuewa.de</v>
      </c>
      <c r="C58" s="20"/>
      <c r="D58" s="121"/>
      <c r="E58" s="121"/>
      <c r="F58" s="121"/>
      <c r="G58" s="121"/>
      <c r="H58" s="121"/>
      <c r="I58" s="121"/>
      <c r="J58" s="121"/>
      <c r="K58" s="121"/>
      <c r="L58" s="121"/>
      <c r="M58" s="121"/>
      <c r="N58" s="133" t="str">
        <f>$N$22</f>
        <v>und Tiefe der Bohrung = 150 m</v>
      </c>
      <c r="O58" s="121"/>
    </row>
    <row r="59" spans="1:15" x14ac:dyDescent="0.2">
      <c r="A59" s="125"/>
      <c r="B59" s="126"/>
      <c r="C59" s="34"/>
      <c r="D59" s="57"/>
      <c r="E59" s="57"/>
      <c r="F59" s="57"/>
      <c r="G59" s="57"/>
      <c r="H59" s="137"/>
      <c r="I59" s="57"/>
      <c r="J59" s="57"/>
      <c r="K59" s="57"/>
      <c r="L59" s="57"/>
      <c r="M59" s="57"/>
      <c r="N59" s="57"/>
      <c r="O59" s="57"/>
    </row>
    <row r="60" spans="1:15" x14ac:dyDescent="0.2">
      <c r="A60" s="127"/>
      <c r="B60" s="128"/>
      <c r="C60" s="129"/>
      <c r="D60" s="130"/>
      <c r="E60" s="130"/>
      <c r="F60" s="130"/>
      <c r="G60" s="130"/>
      <c r="H60" s="138"/>
      <c r="I60" s="130"/>
      <c r="J60" s="130"/>
      <c r="K60" s="130"/>
      <c r="L60" s="130"/>
      <c r="M60" s="130"/>
      <c r="N60" s="130"/>
      <c r="O60" s="130"/>
    </row>
    <row r="62" spans="1:15" ht="15" x14ac:dyDescent="0.2">
      <c r="A62" s="112" t="s">
        <v>184</v>
      </c>
    </row>
    <row r="63" spans="1:15" ht="14.25" x14ac:dyDescent="0.2">
      <c r="A63" s="113" t="str">
        <f>A2</f>
        <v>www.erdsondenoptimierung.ch</v>
      </c>
    </row>
    <row r="64" spans="1:15" ht="14.25" x14ac:dyDescent="0.2">
      <c r="A64" s="113"/>
    </row>
    <row r="65" spans="1:1" ht="14.25" x14ac:dyDescent="0.2">
      <c r="A65" s="113"/>
    </row>
    <row r="66" spans="1:1" ht="14.25" x14ac:dyDescent="0.2">
      <c r="A66" s="113"/>
    </row>
    <row r="67" spans="1:1" ht="14.25" x14ac:dyDescent="0.2">
      <c r="A67" s="113"/>
    </row>
    <row r="68" spans="1:1" ht="14.25" x14ac:dyDescent="0.2">
      <c r="A68" s="113"/>
    </row>
    <row r="69" spans="1:1" ht="14.25" x14ac:dyDescent="0.2">
      <c r="A69" s="113"/>
    </row>
  </sheetData>
  <hyperlinks>
    <hyperlink ref="C24" r:id="rId1"/>
  </hyperlinks>
  <printOptions horizontalCentered="1" verticalCentered="1"/>
  <pageMargins left="0.70866141732283472" right="0.70866141732283472" top="0.78740157480314965" bottom="0.78740157480314965" header="0.31496062992125984" footer="0.31496062992125984"/>
  <pageSetup paperSize="8" scale="64" orientation="landscape" r:id="rId2"/>
  <headerFooter>
    <oddHeader>&amp;L&amp;8www.erdsondenoptimierung.ch&amp;C&amp;8Summary - Bohrlochvolumen und Hinterfüllmaterial-Mengen&amp;R&amp;8Seite &amp;P</oddHeader>
    <oddFooter>&amp;L&amp;8&amp;D&amp;C&amp;8ZHAW ¦ Institut für Facility Management&amp;R&amp;8R. Mantel</oddFooter>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0"/>
  <sheetViews>
    <sheetView zoomScaleNormal="100" workbookViewId="0">
      <selection activeCell="C17" sqref="C17"/>
    </sheetView>
  </sheetViews>
  <sheetFormatPr baseColWidth="10" defaultRowHeight="12.75" x14ac:dyDescent="0.2"/>
  <cols>
    <col min="1" max="1" width="23.7109375" style="41" bestFit="1" customWidth="1"/>
    <col min="2" max="2" width="2.42578125" style="11" bestFit="1" customWidth="1"/>
    <col min="3" max="3" width="34" bestFit="1" customWidth="1"/>
    <col min="4" max="5" width="8.7109375" bestFit="1" customWidth="1"/>
    <col min="6" max="6" width="14" bestFit="1" customWidth="1"/>
    <col min="7" max="7" width="16.28515625" bestFit="1" customWidth="1"/>
    <col min="8" max="11" width="15.140625" customWidth="1"/>
    <col min="12" max="12" width="14.5703125" bestFit="1" customWidth="1"/>
  </cols>
  <sheetData>
    <row r="2" spans="1:7" x14ac:dyDescent="0.2">
      <c r="A2" s="38" t="s">
        <v>23</v>
      </c>
    </row>
    <row r="3" spans="1:7" x14ac:dyDescent="0.2">
      <c r="A3" s="39" t="s">
        <v>97</v>
      </c>
    </row>
    <row r="5" spans="1:7" x14ac:dyDescent="0.2">
      <c r="A5" s="40" t="s">
        <v>16</v>
      </c>
      <c r="B5" s="13"/>
      <c r="C5" s="2"/>
      <c r="D5" s="2"/>
      <c r="E5" s="2"/>
      <c r="F5" s="2"/>
      <c r="G5" s="2"/>
    </row>
    <row r="6" spans="1:7" s="8" customFormat="1" x14ac:dyDescent="0.2">
      <c r="A6" s="85" t="s">
        <v>123</v>
      </c>
      <c r="B6" s="86"/>
      <c r="F6" s="8">
        <f>4*F7</f>
        <v>4</v>
      </c>
    </row>
    <row r="7" spans="1:7" s="8" customFormat="1" x14ac:dyDescent="0.2">
      <c r="A7" s="4" t="s">
        <v>173</v>
      </c>
      <c r="B7" s="86"/>
      <c r="F7" s="6">
        <f>Summery!B11</f>
        <v>1</v>
      </c>
    </row>
    <row r="8" spans="1:7" s="8" customFormat="1" x14ac:dyDescent="0.2">
      <c r="A8" s="4" t="s">
        <v>174</v>
      </c>
      <c r="B8" s="86"/>
      <c r="F8" s="6">
        <f>Summery!B12</f>
        <v>0.12</v>
      </c>
      <c r="G8" s="8" t="s">
        <v>177</v>
      </c>
    </row>
    <row r="9" spans="1:7" s="8" customFormat="1" x14ac:dyDescent="0.2">
      <c r="A9" s="4" t="s">
        <v>175</v>
      </c>
      <c r="B9" s="86"/>
      <c r="F9" s="6">
        <f>Summery!B13</f>
        <v>150</v>
      </c>
      <c r="G9" s="8" t="s">
        <v>177</v>
      </c>
    </row>
    <row r="10" spans="1:7" x14ac:dyDescent="0.2">
      <c r="A10" s="4" t="s">
        <v>183</v>
      </c>
      <c r="F10" s="143">
        <f>Summery!B14/1000</f>
        <v>0.04</v>
      </c>
      <c r="G10" t="s">
        <v>177</v>
      </c>
    </row>
    <row r="11" spans="1:7" x14ac:dyDescent="0.2">
      <c r="A11" s="63"/>
      <c r="F11" s="143"/>
    </row>
    <row r="12" spans="1:7" x14ac:dyDescent="0.2">
      <c r="A12" s="4" t="s">
        <v>0</v>
      </c>
      <c r="B12" s="11" t="s">
        <v>1</v>
      </c>
      <c r="C12" t="s">
        <v>2</v>
      </c>
      <c r="D12" s="11" t="s">
        <v>1</v>
      </c>
      <c r="F12" s="1">
        <f>(F8^2*PI())/4</f>
        <v>1.1309733552923255E-2</v>
      </c>
      <c r="G12" t="s">
        <v>189</v>
      </c>
    </row>
    <row r="13" spans="1:7" x14ac:dyDescent="0.2">
      <c r="A13" s="4"/>
      <c r="D13" s="11"/>
      <c r="E13" s="1"/>
    </row>
    <row r="14" spans="1:7" x14ac:dyDescent="0.2">
      <c r="A14" s="40" t="s">
        <v>17</v>
      </c>
      <c r="B14" s="13"/>
      <c r="C14" s="2"/>
      <c r="D14" s="2"/>
      <c r="E14" s="2"/>
      <c r="F14" s="2"/>
      <c r="G14" s="2"/>
    </row>
    <row r="15" spans="1:7" x14ac:dyDescent="0.2">
      <c r="A15" s="4" t="s">
        <v>6</v>
      </c>
      <c r="B15" s="11" t="s">
        <v>1</v>
      </c>
      <c r="C15" t="s">
        <v>182</v>
      </c>
      <c r="D15" s="11" t="s">
        <v>1</v>
      </c>
      <c r="F15" s="1">
        <f>F12*F9*F7</f>
        <v>1.6964600329384882</v>
      </c>
      <c r="G15" t="s">
        <v>190</v>
      </c>
    </row>
    <row r="17" spans="1:12" s="6" customFormat="1" x14ac:dyDescent="0.2">
      <c r="A17" s="159"/>
      <c r="B17" s="160"/>
      <c r="C17" s="160"/>
      <c r="D17" s="161" t="s">
        <v>4</v>
      </c>
      <c r="E17" s="161" t="s">
        <v>5</v>
      </c>
      <c r="F17" s="161" t="s">
        <v>3</v>
      </c>
      <c r="G17" s="161" t="s">
        <v>13</v>
      </c>
      <c r="J17" s="7"/>
    </row>
    <row r="18" spans="1:12" s="6" customFormat="1" x14ac:dyDescent="0.2">
      <c r="A18" s="159"/>
      <c r="B18" s="160"/>
      <c r="C18" s="160"/>
      <c r="D18" s="161"/>
      <c r="E18" s="161"/>
      <c r="F18" s="161" t="s">
        <v>12</v>
      </c>
      <c r="G18" s="161" t="s">
        <v>14</v>
      </c>
      <c r="J18" s="7"/>
      <c r="K18" s="7"/>
      <c r="L18" s="7"/>
    </row>
    <row r="19" spans="1:12" s="5" customFormat="1" x14ac:dyDescent="0.2">
      <c r="A19" s="162"/>
      <c r="B19" s="163"/>
      <c r="C19" s="163"/>
      <c r="D19" s="164" t="s">
        <v>189</v>
      </c>
      <c r="E19" s="164" t="s">
        <v>190</v>
      </c>
      <c r="F19" s="164" t="s">
        <v>190</v>
      </c>
      <c r="G19" s="164" t="s">
        <v>193</v>
      </c>
      <c r="J19" s="10"/>
      <c r="K19" s="10"/>
      <c r="L19" s="10"/>
    </row>
    <row r="20" spans="1:12" x14ac:dyDescent="0.2">
      <c r="A20" s="63"/>
      <c r="D20" s="14">
        <f>(F10^2*PI())/4</f>
        <v>1.2566370614359172E-3</v>
      </c>
      <c r="E20" s="12">
        <f>D20*$F$9</f>
        <v>0.18849555921538758</v>
      </c>
      <c r="F20" s="12">
        <f>$F$15-$F$6*E20</f>
        <v>0.94247779607693793</v>
      </c>
      <c r="G20" s="9">
        <f>1000*F20</f>
        <v>942.47779607693792</v>
      </c>
      <c r="J20" s="9"/>
      <c r="K20" s="8"/>
      <c r="L20" s="8"/>
    </row>
    <row r="21" spans="1:12" x14ac:dyDescent="0.2">
      <c r="A21" s="63"/>
      <c r="D21" s="14"/>
      <c r="E21" s="12"/>
      <c r="F21" s="12"/>
      <c r="G21" s="9"/>
      <c r="J21" s="3"/>
    </row>
    <row r="22" spans="1:12" x14ac:dyDescent="0.2">
      <c r="A22" s="63"/>
      <c r="D22" s="14"/>
      <c r="E22" s="12"/>
      <c r="F22" s="12"/>
      <c r="G22" s="9"/>
      <c r="J22" s="3"/>
    </row>
    <row r="23" spans="1:12" x14ac:dyDescent="0.2">
      <c r="C23" s="8"/>
      <c r="D23" s="8"/>
      <c r="E23" s="8"/>
    </row>
    <row r="24" spans="1:12" x14ac:dyDescent="0.2">
      <c r="F24" s="59" t="s">
        <v>192</v>
      </c>
      <c r="G24" t="s">
        <v>191</v>
      </c>
    </row>
    <row r="25" spans="1:12" x14ac:dyDescent="0.2">
      <c r="A25" s="139"/>
      <c r="B25" s="128"/>
      <c r="C25" s="129"/>
      <c r="D25" s="129"/>
      <c r="E25" s="129"/>
      <c r="F25" s="129"/>
      <c r="G25" s="129"/>
    </row>
    <row r="27" spans="1:12" x14ac:dyDescent="0.2">
      <c r="A27" s="93" t="s">
        <v>187</v>
      </c>
    </row>
    <row r="28" spans="1:12" x14ac:dyDescent="0.2">
      <c r="A28">
        <v>32</v>
      </c>
    </row>
    <row r="29" spans="1:12" x14ac:dyDescent="0.2">
      <c r="A29">
        <v>40</v>
      </c>
    </row>
    <row r="30" spans="1:12" x14ac:dyDescent="0.2">
      <c r="A30">
        <v>50</v>
      </c>
    </row>
  </sheetData>
  <pageMargins left="0.7" right="0.7" top="0.78740157499999996" bottom="0.78740157499999996" header="0.3" footer="0.3"/>
  <pageSetup paperSize="9" scale="94" orientation="landscape" r:id="rId1"/>
  <headerFooter>
    <oddHeader>&amp;L&amp;8erdsondenoptimierung.ch&amp;C&amp;8Bohrlochvolumen und Hinterfüllmaterial-Mengen&amp;R&amp;8Seite &amp;P</oddHeader>
    <oddFooter>&amp;L&amp;8&amp;D&amp;C&amp;8ZHAW ¦ Institut für Facility Management&amp;R&amp;8R. Mantel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8"/>
  <sheetViews>
    <sheetView zoomScaleNormal="100" workbookViewId="0">
      <selection activeCell="C23" sqref="C23"/>
    </sheetView>
  </sheetViews>
  <sheetFormatPr baseColWidth="10" defaultColWidth="36.85546875" defaultRowHeight="12.75" x14ac:dyDescent="0.2"/>
  <cols>
    <col min="1" max="1" width="38.42578125" style="22" bestFit="1" customWidth="1"/>
    <col min="2" max="2" width="8" style="23" bestFit="1" customWidth="1"/>
    <col min="3" max="4" width="20.42578125" style="22" customWidth="1"/>
    <col min="5" max="5" width="24.42578125" style="22" customWidth="1"/>
    <col min="6" max="16384" width="36.85546875" style="22"/>
  </cols>
  <sheetData>
    <row r="2" spans="1:5" x14ac:dyDescent="0.2">
      <c r="A2" s="49" t="s">
        <v>23</v>
      </c>
    </row>
    <row r="3" spans="1:5" x14ac:dyDescent="0.2">
      <c r="A3" s="48" t="s">
        <v>51</v>
      </c>
    </row>
    <row r="5" spans="1:5" x14ac:dyDescent="0.2">
      <c r="A5" s="47"/>
      <c r="B5" s="66"/>
      <c r="C5" s="47"/>
      <c r="D5" s="47"/>
      <c r="E5" s="47"/>
    </row>
    <row r="6" spans="1:5" s="24" customFormat="1" x14ac:dyDescent="0.2">
      <c r="A6" s="23" t="s">
        <v>24</v>
      </c>
      <c r="B6" s="23"/>
      <c r="C6" s="42" t="s">
        <v>125</v>
      </c>
      <c r="D6" s="44"/>
      <c r="E6" s="44"/>
    </row>
    <row r="7" spans="1:5" s="24" customFormat="1" x14ac:dyDescent="0.2">
      <c r="A7" s="23"/>
      <c r="B7" s="23"/>
      <c r="C7" s="42" t="s">
        <v>124</v>
      </c>
      <c r="D7" s="44"/>
      <c r="E7" s="44"/>
    </row>
    <row r="8" spans="1:5" s="24" customFormat="1" x14ac:dyDescent="0.2">
      <c r="A8" s="23"/>
      <c r="B8" s="23"/>
      <c r="C8" s="42" t="s">
        <v>126</v>
      </c>
      <c r="D8" s="44"/>
      <c r="E8" s="44"/>
    </row>
    <row r="9" spans="1:5" s="24" customFormat="1" x14ac:dyDescent="0.2">
      <c r="A9" s="23"/>
      <c r="B9" s="23"/>
      <c r="C9" s="89" t="s">
        <v>144</v>
      </c>
      <c r="D9" s="44"/>
      <c r="E9" s="44"/>
    </row>
    <row r="10" spans="1:5" s="24" customFormat="1" x14ac:dyDescent="0.2">
      <c r="A10" s="46" t="s">
        <v>50</v>
      </c>
      <c r="B10" s="23"/>
      <c r="C10" s="22"/>
      <c r="D10" s="44"/>
      <c r="E10" s="44"/>
    </row>
    <row r="11" spans="1:5" s="24" customFormat="1" x14ac:dyDescent="0.2">
      <c r="A11" s="25" t="s">
        <v>49</v>
      </c>
      <c r="B11" s="23"/>
      <c r="C11" s="45" t="s">
        <v>48</v>
      </c>
      <c r="D11" s="44"/>
      <c r="E11" s="44"/>
    </row>
    <row r="12" spans="1:5" s="24" customFormat="1" x14ac:dyDescent="0.2">
      <c r="A12" s="25" t="s">
        <v>47</v>
      </c>
      <c r="B12" s="23"/>
      <c r="C12" s="45" t="s">
        <v>46</v>
      </c>
      <c r="D12" s="44"/>
      <c r="E12" s="44"/>
    </row>
    <row r="13" spans="1:5" s="24" customFormat="1" x14ac:dyDescent="0.2">
      <c r="A13" s="25" t="s">
        <v>45</v>
      </c>
      <c r="B13" s="23"/>
      <c r="C13" s="45" t="s">
        <v>44</v>
      </c>
      <c r="D13" s="44"/>
      <c r="E13" s="44"/>
    </row>
    <row r="14" spans="1:5" s="24" customFormat="1" x14ac:dyDescent="0.2">
      <c r="A14" s="25" t="s">
        <v>43</v>
      </c>
      <c r="B14" s="67"/>
      <c r="C14" s="45" t="s">
        <v>42</v>
      </c>
      <c r="D14" s="44"/>
      <c r="E14" s="44"/>
    </row>
    <row r="15" spans="1:5" s="24" customFormat="1" x14ac:dyDescent="0.2">
      <c r="A15" s="23" t="str">
        <f>Summery!H16</f>
        <v>Frostschutz</v>
      </c>
      <c r="B15" s="23"/>
      <c r="C15" s="27" t="s">
        <v>26</v>
      </c>
      <c r="D15" s="23" t="s">
        <v>41</v>
      </c>
      <c r="E15" s="44"/>
    </row>
    <row r="16" spans="1:5" s="24" customFormat="1" x14ac:dyDescent="0.2">
      <c r="A16" s="23" t="str">
        <f>Summery!I16</f>
        <v>Wärmeleitfähigkeit</v>
      </c>
      <c r="B16" s="23" t="str">
        <f>Summery!I18</f>
        <v>[Wm.K]</v>
      </c>
      <c r="C16" s="27" t="s">
        <v>40</v>
      </c>
      <c r="D16" s="23" t="s">
        <v>39</v>
      </c>
      <c r="E16" s="44"/>
    </row>
    <row r="17" spans="1:8" s="24" customFormat="1" x14ac:dyDescent="0.2">
      <c r="A17" s="23" t="str">
        <f>Summery!J16</f>
        <v>spez. Suspensionsmenge</v>
      </c>
      <c r="B17" s="23" t="str">
        <f>Summery!J18</f>
        <v>[l/kg]</v>
      </c>
      <c r="C17" s="22">
        <v>1.24</v>
      </c>
      <c r="D17" s="24" t="s">
        <v>94</v>
      </c>
      <c r="E17" s="44"/>
      <c r="H17" s="22"/>
    </row>
    <row r="18" spans="1:8" x14ac:dyDescent="0.2">
      <c r="A18" s="69" t="str">
        <f>Summery!J17</f>
        <v>(Susp.menge [l]/Feststoff-Menge [kg])</v>
      </c>
    </row>
    <row r="19" spans="1:8" x14ac:dyDescent="0.2">
      <c r="A19" s="23" t="str">
        <f>Summery!K16</f>
        <v>Wasser- [l]/Feststoffwert [kg] (W/F-Wert)</v>
      </c>
      <c r="C19" s="43">
        <v>0.8</v>
      </c>
      <c r="D19" s="24" t="s">
        <v>38</v>
      </c>
    </row>
    <row r="20" spans="1:8" x14ac:dyDescent="0.2">
      <c r="A20" s="23" t="str">
        <f>Summery!L16</f>
        <v>Gewicht/Sack</v>
      </c>
      <c r="B20" s="23" t="str">
        <f>Summery!L18</f>
        <v>[kg]</v>
      </c>
      <c r="C20" s="28">
        <v>25</v>
      </c>
      <c r="D20" s="24" t="s">
        <v>37</v>
      </c>
    </row>
    <row r="21" spans="1:8" x14ac:dyDescent="0.2">
      <c r="A21" s="23" t="str">
        <f>Summery!M16</f>
        <v>Suspensionsdichte</v>
      </c>
      <c r="B21" s="23" t="str">
        <f>Summery!M18</f>
        <v>[kg/m3]</v>
      </c>
      <c r="C21" s="29">
        <v>1460</v>
      </c>
      <c r="D21" s="24" t="s">
        <v>37</v>
      </c>
    </row>
    <row r="22" spans="1:8" x14ac:dyDescent="0.2">
      <c r="A22" s="23"/>
      <c r="C22" s="42"/>
      <c r="D22" s="42"/>
      <c r="E22" s="42"/>
    </row>
    <row r="23" spans="1:8" s="24" customFormat="1" x14ac:dyDescent="0.2">
      <c r="A23" s="20" t="str">
        <f>Summery!D16</f>
        <v>Feststoff-Menge</v>
      </c>
      <c r="B23" s="67" t="str">
        <f>Summery!D18</f>
        <v>[kg]</v>
      </c>
      <c r="C23" s="31">
        <f>Calc!G20/$C$17</f>
        <v>760.06273877172418</v>
      </c>
      <c r="F23" s="144"/>
    </row>
    <row r="24" spans="1:8" s="24" customFormat="1" x14ac:dyDescent="0.2">
      <c r="A24" s="20" t="str">
        <f>Summery!E16</f>
        <v>Zugabemenge Wasser</v>
      </c>
      <c r="B24" s="67" t="str">
        <f>Summery!E18</f>
        <v>[l]</v>
      </c>
      <c r="C24" s="31">
        <f>$C$19*C23</f>
        <v>608.05019101737935</v>
      </c>
    </row>
    <row r="25" spans="1:8" s="24" customFormat="1" x14ac:dyDescent="0.2">
      <c r="A25" s="20" t="str">
        <f>Summery!F16</f>
        <v>Säcke</v>
      </c>
      <c r="B25" s="145" t="str">
        <f>Summery!F18</f>
        <v>[Stk]</v>
      </c>
      <c r="C25" s="62">
        <f>C23/$C$20</f>
        <v>30.402509550868967</v>
      </c>
    </row>
    <row r="26" spans="1:8" s="24" customFormat="1" x14ac:dyDescent="0.2">
      <c r="A26" s="20" t="str">
        <f>Summery!G16</f>
        <v>Suspensionsmenge</v>
      </c>
      <c r="B26" s="145" t="str">
        <f>Summery!G18</f>
        <v>[kg]</v>
      </c>
      <c r="C26" s="62">
        <f>Calc!F20*$C$21</f>
        <v>1376.0175822723295</v>
      </c>
    </row>
    <row r="27" spans="1:8" x14ac:dyDescent="0.2">
      <c r="A27" s="65" t="str">
        <f>Summery!N16</f>
        <v>Minimal notwendiger Prüfdruck</v>
      </c>
      <c r="B27" s="61" t="str">
        <f>Summery!N18</f>
        <v>[bar]</v>
      </c>
      <c r="C27" s="65">
        <v>13</v>
      </c>
      <c r="D27" s="65"/>
      <c r="E27" s="65"/>
    </row>
    <row r="28" spans="1:8" s="72" customFormat="1" ht="11.25" x14ac:dyDescent="0.2">
      <c r="A28" s="68" t="s">
        <v>98</v>
      </c>
      <c r="B28" s="70"/>
    </row>
    <row r="29" spans="1:8" s="72" customFormat="1" ht="11.25" x14ac:dyDescent="0.2">
      <c r="A29" s="69" t="str">
        <f>"basiert auf "&amp;A21</f>
        <v>basiert auf Suspensionsdichte</v>
      </c>
      <c r="B29" s="70" t="str">
        <f>B21</f>
        <v>[kg/m3]</v>
      </c>
      <c r="C29" s="71">
        <f>C21</f>
        <v>1460</v>
      </c>
    </row>
    <row r="30" spans="1:8" s="72" customFormat="1" ht="11.25" x14ac:dyDescent="0.2">
      <c r="A30" s="69" t="str">
        <f>"und "&amp;Summery!A13</f>
        <v>und Tiefe der Bohrung</v>
      </c>
      <c r="B30" s="78" t="str">
        <f>Calc!G9</f>
        <v>m</v>
      </c>
      <c r="C30" s="71">
        <f>Calc!F9</f>
        <v>150</v>
      </c>
    </row>
    <row r="32" spans="1:8" s="24" customFormat="1" x14ac:dyDescent="0.2">
      <c r="A32" s="37"/>
      <c r="B32" s="37"/>
      <c r="C32" s="37"/>
      <c r="D32" s="20"/>
      <c r="E32" s="37"/>
    </row>
    <row r="36" spans="1:4" x14ac:dyDescent="0.2">
      <c r="A36" s="27"/>
      <c r="D36" s="32"/>
    </row>
    <row r="37" spans="1:4" x14ac:dyDescent="0.2">
      <c r="D37" s="32"/>
    </row>
    <row r="38" spans="1:4" x14ac:dyDescent="0.2">
      <c r="D38" s="32"/>
    </row>
  </sheetData>
  <hyperlinks>
    <hyperlink ref="C13" r:id="rId1"/>
    <hyperlink ref="C14" r:id="rId2"/>
    <hyperlink ref="C12" r:id="rId3"/>
    <hyperlink ref="C11" r:id="rId4"/>
    <hyperlink ref="C9" r:id="rId5"/>
  </hyperlinks>
  <pageMargins left="0.7" right="0.7" top="0.78740157499999996" bottom="0.78740157499999996" header="0.3" footer="0.3"/>
  <pageSetup paperSize="9" scale="98" orientation="landscape" r:id="rId6"/>
  <headerFooter>
    <oddHeader>&amp;L&amp;8erdsondenoptimierung.ch&amp;C&amp;8Bohrlochvolumen und Hinterfüllmaterial-Mengen - Thermocem&amp;R&amp;8Seite &amp;P</oddHeader>
    <oddFooter>&amp;L&amp;8&amp;D&amp;C&amp;8ZHAW ¦ Institut für Facility Management&amp;R&amp;8R. Mantel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opLeftCell="A4" zoomScaleNormal="100" workbookViewId="0">
      <selection activeCell="A27" sqref="A27:B27"/>
    </sheetView>
  </sheetViews>
  <sheetFormatPr baseColWidth="10" defaultColWidth="26.42578125" defaultRowHeight="12.75" x14ac:dyDescent="0.2"/>
  <cols>
    <col min="1" max="1" width="38.42578125" style="22" bestFit="1" customWidth="1"/>
    <col min="2" max="2" width="8" style="23" bestFit="1" customWidth="1"/>
    <col min="3" max="3" width="26.42578125" style="22"/>
    <col min="4" max="4" width="26.42578125" style="21"/>
    <col min="5" max="16384" width="26.42578125" style="22"/>
  </cols>
  <sheetData>
    <row r="2" spans="1:7" x14ac:dyDescent="0.2">
      <c r="A2" s="49" t="s">
        <v>23</v>
      </c>
      <c r="C2" s="15"/>
    </row>
    <row r="3" spans="1:7" x14ac:dyDescent="0.2">
      <c r="A3" s="48" t="s">
        <v>36</v>
      </c>
      <c r="C3" s="16"/>
    </row>
    <row r="5" spans="1:7" x14ac:dyDescent="0.2">
      <c r="A5" s="47"/>
      <c r="B5" s="66"/>
      <c r="C5" s="17"/>
      <c r="D5" s="18"/>
      <c r="E5" s="17"/>
      <c r="F5" s="17"/>
      <c r="G5" s="17"/>
    </row>
    <row r="6" spans="1:7" s="24" customFormat="1" x14ac:dyDescent="0.2">
      <c r="A6" s="23" t="s">
        <v>24</v>
      </c>
      <c r="B6" s="23"/>
      <c r="C6" s="22" t="s">
        <v>127</v>
      </c>
      <c r="D6" s="21"/>
      <c r="F6" s="19"/>
      <c r="G6" s="19"/>
    </row>
    <row r="7" spans="1:7" s="24" customFormat="1" x14ac:dyDescent="0.2">
      <c r="A7" s="23"/>
      <c r="B7" s="23"/>
      <c r="C7" s="22" t="s">
        <v>128</v>
      </c>
      <c r="D7" s="21"/>
      <c r="F7" s="19"/>
      <c r="G7" s="19"/>
    </row>
    <row r="8" spans="1:7" s="24" customFormat="1" x14ac:dyDescent="0.2">
      <c r="A8" s="23"/>
      <c r="B8" s="23"/>
      <c r="C8" s="22"/>
      <c r="D8" s="21"/>
      <c r="F8" s="19"/>
      <c r="G8" s="19"/>
    </row>
    <row r="9" spans="1:7" s="24" customFormat="1" x14ac:dyDescent="0.2">
      <c r="A9" s="23"/>
      <c r="B9" s="23"/>
      <c r="C9" s="89" t="s">
        <v>145</v>
      </c>
      <c r="D9" s="21"/>
      <c r="F9" s="19"/>
      <c r="G9" s="19"/>
    </row>
    <row r="10" spans="1:7" s="24" customFormat="1" x14ac:dyDescent="0.2">
      <c r="A10" s="46" t="s">
        <v>99</v>
      </c>
      <c r="B10" s="23"/>
      <c r="C10" s="22"/>
      <c r="D10" s="21"/>
      <c r="F10" s="19"/>
      <c r="G10" s="19"/>
    </row>
    <row r="11" spans="1:7" s="24" customFormat="1" x14ac:dyDescent="0.2">
      <c r="A11" s="25" t="s">
        <v>101</v>
      </c>
      <c r="B11" s="23"/>
      <c r="C11" s="36" t="s">
        <v>29</v>
      </c>
      <c r="D11" s="21"/>
      <c r="F11" s="19"/>
      <c r="G11" s="19"/>
    </row>
    <row r="12" spans="1:7" s="24" customFormat="1" x14ac:dyDescent="0.2">
      <c r="A12" s="25" t="s">
        <v>30</v>
      </c>
      <c r="B12" s="23"/>
      <c r="C12" s="26" t="s">
        <v>15</v>
      </c>
      <c r="D12" s="21"/>
      <c r="F12" s="19"/>
      <c r="G12" s="19"/>
    </row>
    <row r="13" spans="1:7" s="24" customFormat="1" x14ac:dyDescent="0.2">
      <c r="A13" s="25"/>
      <c r="B13" s="23"/>
      <c r="C13" s="26"/>
      <c r="D13" s="21"/>
      <c r="F13" s="19"/>
      <c r="G13" s="19"/>
    </row>
    <row r="14" spans="1:7" s="24" customFormat="1" x14ac:dyDescent="0.2">
      <c r="A14" s="25"/>
      <c r="B14" s="67"/>
      <c r="C14" s="25"/>
      <c r="D14" s="21"/>
      <c r="E14" s="26"/>
      <c r="F14" s="19"/>
      <c r="G14" s="19"/>
    </row>
    <row r="15" spans="1:7" s="24" customFormat="1" x14ac:dyDescent="0.2">
      <c r="A15" s="23" t="str">
        <f>Summery!H16</f>
        <v>Frostschutz</v>
      </c>
      <c r="B15" s="23"/>
      <c r="C15" s="27" t="s">
        <v>26</v>
      </c>
      <c r="D15" s="23" t="s">
        <v>34</v>
      </c>
      <c r="G15" s="19"/>
    </row>
    <row r="16" spans="1:7" s="24" customFormat="1" x14ac:dyDescent="0.2">
      <c r="A16" s="23" t="str">
        <f>Summery!I16</f>
        <v>Wärmeleitfähigkeit</v>
      </c>
      <c r="B16" s="23" t="str">
        <f>Summery!I18</f>
        <v>[Wm.K]</v>
      </c>
      <c r="C16" s="27">
        <v>2.3199999999999998</v>
      </c>
      <c r="D16" s="23" t="s">
        <v>31</v>
      </c>
      <c r="G16" s="19"/>
    </row>
    <row r="17" spans="1:10" s="24" customFormat="1" x14ac:dyDescent="0.2">
      <c r="A17" s="23" t="str">
        <f>Summery!J16</f>
        <v>spez. Suspensionsmenge</v>
      </c>
      <c r="B17" s="23" t="str">
        <f>Summery!J18</f>
        <v>[l/kg]</v>
      </c>
      <c r="C17" s="33">
        <v>0.7</v>
      </c>
      <c r="D17" s="34" t="s">
        <v>32</v>
      </c>
      <c r="G17" s="19"/>
      <c r="J17" s="22"/>
    </row>
    <row r="18" spans="1:10" x14ac:dyDescent="0.2">
      <c r="A18" s="69" t="str">
        <f>Summery!J17</f>
        <v>(Susp.menge [l]/Feststoff-Menge [kg])</v>
      </c>
      <c r="D18" s="22"/>
    </row>
    <row r="19" spans="1:10" x14ac:dyDescent="0.2">
      <c r="A19" s="23" t="str">
        <f>Summery!K16</f>
        <v>Wasser- [l]/Feststoffwert [kg] (W/F-Wert)</v>
      </c>
      <c r="C19" s="34">
        <f>0.33</f>
        <v>0.33</v>
      </c>
      <c r="D19" s="34" t="s">
        <v>33</v>
      </c>
    </row>
    <row r="20" spans="1:10" x14ac:dyDescent="0.2">
      <c r="A20" s="23" t="str">
        <f>Summery!L16</f>
        <v>Gewicht/Sack</v>
      </c>
      <c r="B20" s="23" t="str">
        <f>Summery!L18</f>
        <v>[kg]</v>
      </c>
      <c r="C20" s="28">
        <v>25</v>
      </c>
      <c r="D20" s="23" t="s">
        <v>31</v>
      </c>
    </row>
    <row r="21" spans="1:10" x14ac:dyDescent="0.2">
      <c r="A21" s="23" t="str">
        <f>Summery!M16</f>
        <v>Suspensionsdichte</v>
      </c>
      <c r="B21" s="23" t="str">
        <f>Summery!M18</f>
        <v>[kg/m3]</v>
      </c>
      <c r="C21" s="29">
        <v>1900</v>
      </c>
      <c r="D21" s="23" t="s">
        <v>31</v>
      </c>
    </row>
    <row r="22" spans="1:10" x14ac:dyDescent="0.2">
      <c r="A22" s="23"/>
      <c r="C22" s="35"/>
      <c r="D22" s="23"/>
    </row>
    <row r="23" spans="1:10" s="24" customFormat="1" x14ac:dyDescent="0.2">
      <c r="A23" s="20" t="str">
        <f>Summery!D16</f>
        <v>Feststoff-Menge</v>
      </c>
      <c r="B23" s="20" t="str">
        <f>Summery!D18</f>
        <v>[kg]</v>
      </c>
      <c r="C23" s="31">
        <f>Calc!G20/$C$17</f>
        <v>1346.3968515384829</v>
      </c>
      <c r="D23" s="20"/>
      <c r="E23" s="20"/>
      <c r="F23" s="20"/>
      <c r="G23" s="20"/>
    </row>
    <row r="24" spans="1:10" s="24" customFormat="1" x14ac:dyDescent="0.2">
      <c r="A24" s="20" t="str">
        <f>Summery!E16</f>
        <v>Zugabemenge Wasser</v>
      </c>
      <c r="B24" s="20" t="str">
        <f>Summery!E18</f>
        <v>[l]</v>
      </c>
      <c r="C24" s="31">
        <f>$C$19*C23</f>
        <v>444.3109610076994</v>
      </c>
      <c r="D24" s="20"/>
      <c r="E24" s="20"/>
      <c r="F24" s="20"/>
      <c r="G24" s="20"/>
    </row>
    <row r="25" spans="1:10" s="24" customFormat="1" x14ac:dyDescent="0.2">
      <c r="A25" s="20" t="str">
        <f>Summery!F16</f>
        <v>Säcke</v>
      </c>
      <c r="B25" s="20" t="str">
        <f>Summery!F18</f>
        <v>[Stk]</v>
      </c>
      <c r="C25" s="31">
        <f>C23/$C$20</f>
        <v>53.855874061539318</v>
      </c>
      <c r="D25" s="20"/>
      <c r="E25" s="20"/>
      <c r="F25" s="20"/>
      <c r="G25" s="20"/>
    </row>
    <row r="26" spans="1:10" s="24" customFormat="1" x14ac:dyDescent="0.2">
      <c r="A26" s="20" t="str">
        <f>Summery!G16</f>
        <v>Suspensionsmenge</v>
      </c>
      <c r="B26" s="20" t="str">
        <f>Summery!G18</f>
        <v>[kg]</v>
      </c>
      <c r="C26" s="31">
        <f>Calc!F20*$C$21</f>
        <v>1790.7078125461821</v>
      </c>
      <c r="D26" s="20"/>
      <c r="E26" s="20"/>
      <c r="F26" s="20"/>
      <c r="G26" s="20"/>
    </row>
    <row r="27" spans="1:10" x14ac:dyDescent="0.2">
      <c r="A27" s="65" t="str">
        <f>Summery!N16</f>
        <v>Minimal notwendiger Prüfdruck</v>
      </c>
      <c r="B27" s="61" t="str">
        <f>Summery!N18</f>
        <v>[bar]</v>
      </c>
      <c r="C27" s="80">
        <v>16</v>
      </c>
      <c r="D27" s="64"/>
      <c r="E27" s="64"/>
      <c r="F27" s="64"/>
      <c r="G27" s="64"/>
    </row>
    <row r="28" spans="1:10" s="72" customFormat="1" ht="11.25" x14ac:dyDescent="0.2">
      <c r="A28" s="68" t="s">
        <v>98</v>
      </c>
      <c r="B28" s="70"/>
      <c r="D28" s="76"/>
    </row>
    <row r="29" spans="1:10" s="72" customFormat="1" ht="11.25" x14ac:dyDescent="0.2">
      <c r="A29" s="69" t="str">
        <f>"basiert auf "&amp;A21</f>
        <v>basiert auf Suspensionsdichte</v>
      </c>
      <c r="B29" s="70" t="str">
        <f>B21</f>
        <v>[kg/m3]</v>
      </c>
      <c r="C29" s="77">
        <f>C21</f>
        <v>1900</v>
      </c>
      <c r="F29" s="78"/>
    </row>
    <row r="30" spans="1:10" s="72" customFormat="1" ht="11.25" x14ac:dyDescent="0.2">
      <c r="A30" s="69" t="str">
        <f>"und "&amp;Summery!A13</f>
        <v>und Tiefe der Bohrung</v>
      </c>
      <c r="B30" s="78" t="str">
        <f>Calc!G9</f>
        <v>m</v>
      </c>
      <c r="C30" s="72">
        <f>Calc!F9</f>
        <v>150</v>
      </c>
      <c r="F30" s="78"/>
    </row>
    <row r="31" spans="1:10" x14ac:dyDescent="0.2">
      <c r="D31" s="22"/>
      <c r="F31" s="32"/>
    </row>
    <row r="32" spans="1:10" x14ac:dyDescent="0.2">
      <c r="A32" s="37"/>
      <c r="B32" s="37"/>
    </row>
    <row r="36" spans="1:1" x14ac:dyDescent="0.2">
      <c r="A36" s="27"/>
    </row>
  </sheetData>
  <hyperlinks>
    <hyperlink ref="C11" r:id="rId1"/>
    <hyperlink ref="C9" r:id="rId2"/>
  </hyperlinks>
  <pageMargins left="0.7" right="0.7" top="0.78740157499999996" bottom="0.78740157499999996" header="0.3" footer="0.3"/>
  <pageSetup paperSize="9" orientation="landscape" r:id="rId3"/>
  <headerFooter>
    <oddHeader>&amp;L&amp;8erdsondenoptimierung.ch&amp;C&amp;8Bohrlochvolumen und Hinterfüllmaterial-Mengen - EWM Füllbinder&amp;R&amp;8Seite &amp;P</oddHeader>
    <oddFooter>&amp;L&amp;8&amp;D&amp;C&amp;8ZHAW ¦ Institut für Facility Management&amp;R&amp;8R. Mantel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zoomScaleNormal="100" workbookViewId="0">
      <selection activeCell="A27" sqref="A27:B27"/>
    </sheetView>
  </sheetViews>
  <sheetFormatPr baseColWidth="10" defaultColWidth="36.85546875" defaultRowHeight="12.75" x14ac:dyDescent="0.2"/>
  <cols>
    <col min="1" max="1" width="38.42578125" style="22" bestFit="1" customWidth="1"/>
    <col min="2" max="2" width="8" style="23" bestFit="1" customWidth="1"/>
    <col min="3" max="3" width="38.42578125" style="22" bestFit="1" customWidth="1"/>
    <col min="4" max="4" width="8" style="21" bestFit="1" customWidth="1"/>
    <col min="5" max="6" width="20.42578125" style="22" customWidth="1"/>
    <col min="7" max="7" width="24.42578125" style="22" customWidth="1"/>
    <col min="8" max="16384" width="36.85546875" style="22"/>
  </cols>
  <sheetData>
    <row r="2" spans="1:7" x14ac:dyDescent="0.2">
      <c r="A2" s="49" t="s">
        <v>23</v>
      </c>
      <c r="C2" s="15"/>
    </row>
    <row r="3" spans="1:7" x14ac:dyDescent="0.2">
      <c r="A3" s="48" t="s">
        <v>62</v>
      </c>
    </row>
    <row r="5" spans="1:7" x14ac:dyDescent="0.2">
      <c r="A5" s="47"/>
      <c r="B5" s="66"/>
      <c r="C5" s="75"/>
      <c r="D5" s="18"/>
      <c r="E5" s="17"/>
      <c r="F5" s="17"/>
      <c r="G5" s="17"/>
    </row>
    <row r="6" spans="1:7" s="24" customFormat="1" x14ac:dyDescent="0.2">
      <c r="A6" s="23" t="s">
        <v>24</v>
      </c>
      <c r="B6" s="23"/>
      <c r="C6" s="20" t="s">
        <v>129</v>
      </c>
      <c r="D6" s="21"/>
      <c r="F6" s="19"/>
      <c r="G6" s="19"/>
    </row>
    <row r="7" spans="1:7" s="24" customFormat="1" x14ac:dyDescent="0.2">
      <c r="A7" s="23"/>
      <c r="B7" s="23"/>
      <c r="C7" s="20" t="s">
        <v>131</v>
      </c>
      <c r="D7" s="21"/>
      <c r="F7" s="19"/>
      <c r="G7" s="19"/>
    </row>
    <row r="8" spans="1:7" s="24" customFormat="1" x14ac:dyDescent="0.2">
      <c r="A8" s="23"/>
      <c r="B8" s="23"/>
      <c r="C8" s="20" t="s">
        <v>130</v>
      </c>
      <c r="D8" s="21"/>
      <c r="F8" s="19"/>
      <c r="G8" s="19"/>
    </row>
    <row r="9" spans="1:7" s="24" customFormat="1" x14ac:dyDescent="0.2">
      <c r="A9" s="23"/>
      <c r="B9" s="23"/>
      <c r="C9" s="20" t="s">
        <v>146</v>
      </c>
      <c r="D9" s="21"/>
      <c r="F9" s="19"/>
      <c r="G9" s="19"/>
    </row>
    <row r="10" spans="1:7" s="24" customFormat="1" x14ac:dyDescent="0.2">
      <c r="A10" s="46" t="s">
        <v>99</v>
      </c>
      <c r="B10" s="23"/>
      <c r="C10" s="22"/>
      <c r="D10" s="21"/>
      <c r="F10" s="19"/>
      <c r="G10" s="19"/>
    </row>
    <row r="11" spans="1:7" s="24" customFormat="1" x14ac:dyDescent="0.2">
      <c r="A11" s="25" t="s">
        <v>61</v>
      </c>
      <c r="B11" s="23"/>
      <c r="C11" s="26" t="s">
        <v>60</v>
      </c>
      <c r="D11" s="21"/>
      <c r="F11" s="19"/>
      <c r="G11" s="19"/>
    </row>
    <row r="12" spans="1:7" s="24" customFormat="1" x14ac:dyDescent="0.2">
      <c r="A12" s="25" t="s">
        <v>103</v>
      </c>
      <c r="B12" s="23"/>
      <c r="C12" s="26" t="s">
        <v>59</v>
      </c>
      <c r="D12" s="21"/>
      <c r="F12" s="19"/>
      <c r="G12" s="19"/>
    </row>
    <row r="13" spans="1:7" s="24" customFormat="1" x14ac:dyDescent="0.2">
      <c r="A13" s="25"/>
      <c r="B13" s="23"/>
      <c r="C13" s="50"/>
      <c r="D13" s="21"/>
      <c r="E13" s="51"/>
      <c r="F13" s="19"/>
      <c r="G13" s="19"/>
    </row>
    <row r="14" spans="1:7" s="24" customFormat="1" x14ac:dyDescent="0.2">
      <c r="A14" s="25"/>
      <c r="B14" s="67"/>
      <c r="C14" s="25"/>
      <c r="D14" s="21"/>
      <c r="E14" s="50"/>
      <c r="F14" s="19"/>
      <c r="G14" s="19"/>
    </row>
    <row r="15" spans="1:7" s="24" customFormat="1" x14ac:dyDescent="0.2">
      <c r="A15" s="23" t="str">
        <f>Summery!H16</f>
        <v>Frostschutz</v>
      </c>
      <c r="B15" s="23"/>
      <c r="C15" s="27" t="s">
        <v>26</v>
      </c>
      <c r="D15" s="23" t="s">
        <v>58</v>
      </c>
      <c r="G15" s="19"/>
    </row>
    <row r="16" spans="1:7" s="24" customFormat="1" x14ac:dyDescent="0.2">
      <c r="A16" s="23" t="str">
        <f>Summery!I16</f>
        <v>Wärmeleitfähigkeit</v>
      </c>
      <c r="B16" s="23" t="str">
        <f>Summery!I18</f>
        <v>[Wm.K]</v>
      </c>
      <c r="C16" s="27" t="s">
        <v>57</v>
      </c>
      <c r="D16" s="23" t="s">
        <v>56</v>
      </c>
      <c r="G16" s="19"/>
    </row>
    <row r="17" spans="1:10" s="24" customFormat="1" x14ac:dyDescent="0.2">
      <c r="A17" s="23" t="str">
        <f>Summery!J16</f>
        <v>spez. Suspensionsmenge</v>
      </c>
      <c r="B17" s="23" t="str">
        <f>Summery!J18</f>
        <v>[l/kg]</v>
      </c>
      <c r="C17" s="43">
        <f>1000/1032</f>
        <v>0.96899224806201545</v>
      </c>
      <c r="D17" s="34" t="s">
        <v>52</v>
      </c>
      <c r="G17" s="19"/>
    </row>
    <row r="18" spans="1:10" s="24" customFormat="1" x14ac:dyDescent="0.2">
      <c r="A18" s="69" t="str">
        <f>Summery!J17</f>
        <v>(Susp.menge [l]/Feststoff-Menge [kg])</v>
      </c>
      <c r="B18" s="23"/>
      <c r="C18" s="22"/>
      <c r="D18" s="22"/>
      <c r="G18" s="22"/>
      <c r="J18" s="22"/>
    </row>
    <row r="19" spans="1:10" x14ac:dyDescent="0.2">
      <c r="A19" s="23" t="str">
        <f>Summery!K16</f>
        <v>Wasser- [l]/Feststoffwert [kg] (W/F-Wert)</v>
      </c>
      <c r="C19" s="22">
        <v>0.6</v>
      </c>
      <c r="D19" s="34" t="s">
        <v>55</v>
      </c>
    </row>
    <row r="20" spans="1:10" x14ac:dyDescent="0.2">
      <c r="A20" s="23" t="str">
        <f>Summery!L16</f>
        <v>Gewicht/Sack</v>
      </c>
      <c r="B20" s="23" t="str">
        <f>Summery!L18</f>
        <v>[kg]</v>
      </c>
      <c r="C20" s="28">
        <v>25</v>
      </c>
      <c r="D20" s="23" t="s">
        <v>54</v>
      </c>
    </row>
    <row r="21" spans="1:10" x14ac:dyDescent="0.2">
      <c r="A21" s="23" t="str">
        <f>Summery!M16</f>
        <v>Suspensionsdichte</v>
      </c>
      <c r="B21" s="23" t="str">
        <f>Summery!M18</f>
        <v>[kg/m3]</v>
      </c>
      <c r="C21" s="29">
        <v>1650</v>
      </c>
      <c r="D21" s="34" t="s">
        <v>53</v>
      </c>
    </row>
    <row r="22" spans="1:10" x14ac:dyDescent="0.2">
      <c r="A22" s="23"/>
    </row>
    <row r="23" spans="1:10" s="24" customFormat="1" x14ac:dyDescent="0.2">
      <c r="A23" s="20" t="str">
        <f>Summery!D16</f>
        <v>Feststoff-Menge</v>
      </c>
      <c r="B23" s="67" t="str">
        <f>Summery!D18</f>
        <v>[kg]</v>
      </c>
      <c r="C23" s="31">
        <f>Calc!G20/$C$17</f>
        <v>972.63708555139999</v>
      </c>
      <c r="D23" s="146"/>
      <c r="E23" s="147"/>
      <c r="F23" s="53"/>
    </row>
    <row r="24" spans="1:10" s="24" customFormat="1" x14ac:dyDescent="0.2">
      <c r="A24" s="20" t="str">
        <f>Summery!E16</f>
        <v>Zugabemenge Wasser</v>
      </c>
      <c r="B24" s="67" t="str">
        <f>Summery!E18</f>
        <v>[l]</v>
      </c>
      <c r="C24" s="31">
        <f>$C$19*C23</f>
        <v>583.58225133083999</v>
      </c>
      <c r="D24" s="146"/>
    </row>
    <row r="25" spans="1:10" s="24" customFormat="1" x14ac:dyDescent="0.2">
      <c r="A25" s="20" t="str">
        <f>Summery!F16</f>
        <v>Säcke</v>
      </c>
      <c r="B25" s="145" t="str">
        <f>Summery!F18</f>
        <v>[Stk]</v>
      </c>
      <c r="C25" s="31">
        <f>C23/$C$20</f>
        <v>38.905483422056001</v>
      </c>
      <c r="D25" s="148"/>
    </row>
    <row r="26" spans="1:10" s="24" customFormat="1" x14ac:dyDescent="0.2">
      <c r="A26" s="20" t="str">
        <f>Summery!G16</f>
        <v>Suspensionsmenge</v>
      </c>
      <c r="B26" s="145" t="str">
        <f>Summery!G18</f>
        <v>[kg]</v>
      </c>
      <c r="C26" s="31">
        <f>Calc!F20*$C$21</f>
        <v>1555.0883635269477</v>
      </c>
      <c r="F26" s="149"/>
    </row>
    <row r="27" spans="1:10" x14ac:dyDescent="0.2">
      <c r="A27" s="65" t="str">
        <f>Summery!N16</f>
        <v>Minimal notwendiger Prüfdruck</v>
      </c>
      <c r="B27" s="61" t="str">
        <f>Summery!N18</f>
        <v>[bar]</v>
      </c>
      <c r="C27" s="65">
        <v>16</v>
      </c>
      <c r="D27" s="74"/>
      <c r="E27" s="65"/>
      <c r="F27" s="65"/>
      <c r="G27" s="65"/>
    </row>
    <row r="28" spans="1:10" s="72" customFormat="1" ht="11.25" x14ac:dyDescent="0.2">
      <c r="A28" s="68" t="s">
        <v>98</v>
      </c>
      <c r="B28" s="70"/>
      <c r="D28" s="76"/>
    </row>
    <row r="29" spans="1:10" s="72" customFormat="1" ht="11.25" x14ac:dyDescent="0.2">
      <c r="A29" s="69" t="str">
        <f>"basiert auf "&amp;A21</f>
        <v>basiert auf Suspensionsdichte</v>
      </c>
      <c r="B29" s="70" t="str">
        <f>B21</f>
        <v>[kg/m3]</v>
      </c>
      <c r="C29" s="77">
        <f>C21</f>
        <v>1650</v>
      </c>
      <c r="D29" s="76"/>
    </row>
    <row r="30" spans="1:10" s="72" customFormat="1" ht="11.25" x14ac:dyDescent="0.2">
      <c r="A30" s="69" t="str">
        <f>"und "&amp;Summery!A13</f>
        <v>und Tiefe der Bohrung</v>
      </c>
      <c r="B30" s="78" t="str">
        <f>Calc!G9</f>
        <v>m</v>
      </c>
      <c r="C30" s="72">
        <f>Calc!F9</f>
        <v>150</v>
      </c>
      <c r="D30" s="76"/>
    </row>
    <row r="32" spans="1:10" x14ac:dyDescent="0.2">
      <c r="A32" s="37"/>
      <c r="B32" s="37"/>
    </row>
    <row r="36" spans="1:1" x14ac:dyDescent="0.2">
      <c r="A36" s="27"/>
    </row>
  </sheetData>
  <hyperlinks>
    <hyperlink ref="C11" r:id="rId1"/>
  </hyperlinks>
  <pageMargins left="0.7" right="0.7" top="0.78740157499999996" bottom="0.78740157499999996" header="0.3" footer="0.3"/>
  <pageSetup paperSize="9" orientation="landscape" r:id="rId2"/>
  <headerFooter>
    <oddHeader>&amp;L&amp;8erdsondenoptimierung.ch&amp;C&amp;8Bohrlochvolumen und Hinterfüllmaterial-Mengen - Calidutherm&amp;R&amp;8Seite &amp;P</oddHeader>
    <oddFooter>&amp;L&amp;8&amp;D&amp;C&amp;8ZHAW ¦ Institut für Facility Management&amp;R&amp;8R. Mantel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zoomScaleNormal="100" workbookViewId="0">
      <selection activeCell="A27" sqref="A27:B27"/>
    </sheetView>
  </sheetViews>
  <sheetFormatPr baseColWidth="10" defaultColWidth="36.85546875" defaultRowHeight="12.75" x14ac:dyDescent="0.2"/>
  <cols>
    <col min="1" max="1" width="38.42578125" style="22" bestFit="1" customWidth="1"/>
    <col min="2" max="2" width="8" style="23" bestFit="1" customWidth="1"/>
    <col min="3" max="3" width="20.28515625" style="22" customWidth="1"/>
    <col min="4" max="4" width="8" style="21" bestFit="1" customWidth="1"/>
    <col min="5" max="6" width="20.42578125" style="22" customWidth="1"/>
    <col min="7" max="7" width="24.42578125" style="22" customWidth="1"/>
    <col min="8" max="16384" width="36.85546875" style="22"/>
  </cols>
  <sheetData>
    <row r="2" spans="1:7" x14ac:dyDescent="0.2">
      <c r="A2" s="49" t="s">
        <v>23</v>
      </c>
      <c r="C2" s="15"/>
    </row>
    <row r="3" spans="1:7" x14ac:dyDescent="0.2">
      <c r="A3" s="16" t="s">
        <v>91</v>
      </c>
    </row>
    <row r="5" spans="1:7" x14ac:dyDescent="0.2">
      <c r="A5" s="47"/>
      <c r="B5" s="66"/>
      <c r="C5" s="75"/>
      <c r="D5" s="18"/>
      <c r="E5" s="17"/>
      <c r="F5" s="17"/>
      <c r="G5" s="17"/>
    </row>
    <row r="6" spans="1:7" s="24" customFormat="1" x14ac:dyDescent="0.2">
      <c r="A6" s="23" t="s">
        <v>24</v>
      </c>
      <c r="B6" s="23"/>
      <c r="C6" s="22" t="s">
        <v>133</v>
      </c>
      <c r="D6" s="21"/>
      <c r="F6" s="19"/>
      <c r="G6" s="19"/>
    </row>
    <row r="7" spans="1:7" s="24" customFormat="1" x14ac:dyDescent="0.2">
      <c r="A7" s="23"/>
      <c r="B7" s="23"/>
      <c r="C7" s="22" t="s">
        <v>132</v>
      </c>
      <c r="D7" s="21"/>
      <c r="F7" s="19"/>
      <c r="G7" s="19"/>
    </row>
    <row r="8" spans="1:7" s="24" customFormat="1" x14ac:dyDescent="0.2">
      <c r="A8" s="23"/>
      <c r="B8" s="23"/>
      <c r="C8" s="22" t="s">
        <v>134</v>
      </c>
      <c r="D8" s="21"/>
      <c r="F8" s="19"/>
      <c r="G8" s="19"/>
    </row>
    <row r="9" spans="1:7" s="24" customFormat="1" x14ac:dyDescent="0.2">
      <c r="A9" s="46" t="s">
        <v>99</v>
      </c>
      <c r="B9" s="23"/>
      <c r="C9" s="89" t="s">
        <v>147</v>
      </c>
      <c r="D9" s="21"/>
      <c r="F9" s="19"/>
      <c r="G9" s="19"/>
    </row>
    <row r="10" spans="1:7" s="24" customFormat="1" x14ac:dyDescent="0.2">
      <c r="A10" s="25" t="s">
        <v>104</v>
      </c>
      <c r="B10" s="23"/>
      <c r="C10" s="26" t="s">
        <v>64</v>
      </c>
      <c r="D10" s="21"/>
      <c r="F10" s="19"/>
      <c r="G10" s="19"/>
    </row>
    <row r="11" spans="1:7" s="24" customFormat="1" x14ac:dyDescent="0.2">
      <c r="A11" s="25" t="s">
        <v>67</v>
      </c>
      <c r="B11" s="23"/>
      <c r="C11" s="26" t="s">
        <v>65</v>
      </c>
      <c r="D11" s="21"/>
      <c r="F11" s="19"/>
      <c r="G11" s="19"/>
    </row>
    <row r="12" spans="1:7" s="24" customFormat="1" x14ac:dyDescent="0.2">
      <c r="A12" s="25"/>
      <c r="B12" s="23"/>
      <c r="C12" s="25"/>
      <c r="D12" s="21"/>
      <c r="E12" s="52"/>
      <c r="F12" s="19"/>
      <c r="G12" s="19"/>
    </row>
    <row r="13" spans="1:7" s="24" customFormat="1" x14ac:dyDescent="0.2">
      <c r="A13" s="25"/>
      <c r="B13" s="23"/>
      <c r="C13" s="25"/>
      <c r="D13" s="21"/>
      <c r="E13" s="52"/>
      <c r="F13" s="19"/>
      <c r="G13" s="19"/>
    </row>
    <row r="14" spans="1:7" s="24" customFormat="1" x14ac:dyDescent="0.2">
      <c r="A14" s="25"/>
      <c r="B14" s="67"/>
      <c r="C14" s="25"/>
      <c r="D14" s="21"/>
      <c r="E14" s="25"/>
      <c r="F14" s="19"/>
      <c r="G14" s="19"/>
    </row>
    <row r="15" spans="1:7" s="24" customFormat="1" x14ac:dyDescent="0.2">
      <c r="A15" s="23" t="str">
        <f>Summery!H16</f>
        <v>Frostschutz</v>
      </c>
      <c r="B15" s="23"/>
      <c r="C15" s="27" t="s">
        <v>26</v>
      </c>
      <c r="D15" s="23" t="s">
        <v>68</v>
      </c>
      <c r="G15" s="19"/>
    </row>
    <row r="16" spans="1:7" s="24" customFormat="1" x14ac:dyDescent="0.2">
      <c r="A16" s="23" t="str">
        <f>Summery!I16</f>
        <v>Wärmeleitfähigkeit</v>
      </c>
      <c r="B16" s="23" t="str">
        <f>Summery!I18</f>
        <v>[Wm.K]</v>
      </c>
      <c r="C16" s="27" t="s">
        <v>69</v>
      </c>
      <c r="D16" s="23" t="s">
        <v>70</v>
      </c>
      <c r="G16" s="19"/>
    </row>
    <row r="17" spans="1:10" s="24" customFormat="1" x14ac:dyDescent="0.2">
      <c r="A17" s="23" t="str">
        <f>Summery!J16</f>
        <v>spez. Suspensionsmenge</v>
      </c>
      <c r="B17" s="23" t="str">
        <f>Summery!J18</f>
        <v>[l/kg]</v>
      </c>
      <c r="C17" s="79">
        <v>0.8</v>
      </c>
      <c r="D17" s="34" t="s">
        <v>71</v>
      </c>
      <c r="G17" s="19"/>
    </row>
    <row r="18" spans="1:10" s="24" customFormat="1" x14ac:dyDescent="0.2">
      <c r="A18" s="69" t="str">
        <f>Summery!J17</f>
        <v>(Susp.menge [l]/Feststoff-Menge [kg])</v>
      </c>
      <c r="B18" s="23"/>
      <c r="C18" s="27"/>
      <c r="D18" s="22"/>
      <c r="G18" s="19"/>
      <c r="J18" s="22"/>
    </row>
    <row r="19" spans="1:10" x14ac:dyDescent="0.2">
      <c r="A19" s="23" t="str">
        <f>Summery!K16</f>
        <v>Wasser- [l]/Feststoffwert [kg] (W/F-Wert)</v>
      </c>
      <c r="C19" s="27">
        <v>0.44</v>
      </c>
      <c r="D19" s="34" t="s">
        <v>73</v>
      </c>
    </row>
    <row r="20" spans="1:10" x14ac:dyDescent="0.2">
      <c r="A20" s="23" t="str">
        <f>Summery!L16</f>
        <v>Gewicht/Sack</v>
      </c>
      <c r="B20" s="23" t="str">
        <f>Summery!L18</f>
        <v>[kg]</v>
      </c>
      <c r="C20" s="54">
        <v>25</v>
      </c>
      <c r="D20" s="23"/>
    </row>
    <row r="21" spans="1:10" x14ac:dyDescent="0.2">
      <c r="A21" s="23" t="str">
        <f>Summery!M16</f>
        <v>Suspensionsdichte</v>
      </c>
      <c r="B21" s="23" t="str">
        <f>Summery!M18</f>
        <v>[kg/m3]</v>
      </c>
      <c r="C21" s="73">
        <v>1790</v>
      </c>
      <c r="D21" s="53" t="s">
        <v>72</v>
      </c>
    </row>
    <row r="22" spans="1:10" x14ac:dyDescent="0.2">
      <c r="A22" s="23"/>
    </row>
    <row r="23" spans="1:10" s="24" customFormat="1" x14ac:dyDescent="0.2">
      <c r="A23" s="20" t="str">
        <f>Summery!D16</f>
        <v>Feststoff-Menge</v>
      </c>
      <c r="B23" s="67" t="str">
        <f>Summery!D18</f>
        <v>[kg]</v>
      </c>
      <c r="C23" s="31">
        <f>Calc!G20/$C$17</f>
        <v>1178.0972450961724</v>
      </c>
      <c r="D23" s="146"/>
      <c r="E23" s="150"/>
      <c r="F23" s="53"/>
    </row>
    <row r="24" spans="1:10" s="24" customFormat="1" x14ac:dyDescent="0.2">
      <c r="A24" s="20" t="str">
        <f>Summery!E16</f>
        <v>Zugabemenge Wasser</v>
      </c>
      <c r="B24" s="67" t="str">
        <f>Summery!E18</f>
        <v>[l]</v>
      </c>
      <c r="C24" s="31">
        <f>$C$19*C23</f>
        <v>518.36278784231581</v>
      </c>
      <c r="D24" s="146"/>
    </row>
    <row r="25" spans="1:10" s="24" customFormat="1" x14ac:dyDescent="0.2">
      <c r="A25" s="20" t="str">
        <f>Summery!F16</f>
        <v>Säcke</v>
      </c>
      <c r="B25" s="145" t="str">
        <f>Summery!F18</f>
        <v>[Stk]</v>
      </c>
      <c r="C25" s="31">
        <f>C23/$C$20</f>
        <v>47.123889803846893</v>
      </c>
      <c r="D25" s="151"/>
    </row>
    <row r="26" spans="1:10" s="24" customFormat="1" x14ac:dyDescent="0.2">
      <c r="A26" s="20" t="str">
        <f>Summery!G16</f>
        <v>Suspensionsmenge</v>
      </c>
      <c r="B26" s="145" t="str">
        <f>Summery!G18</f>
        <v>[kg]</v>
      </c>
      <c r="C26" s="31">
        <f>Calc!F20*$C$21</f>
        <v>1687.035254977719</v>
      </c>
      <c r="F26" s="149"/>
    </row>
    <row r="27" spans="1:10" x14ac:dyDescent="0.2">
      <c r="A27" s="65" t="str">
        <f>Summery!N16</f>
        <v>Minimal notwendiger Prüfdruck</v>
      </c>
      <c r="B27" s="61" t="str">
        <f>Summery!N18</f>
        <v>[bar]</v>
      </c>
      <c r="C27" s="65">
        <v>16</v>
      </c>
      <c r="D27" s="74"/>
      <c r="E27" s="65"/>
      <c r="F27" s="65"/>
      <c r="G27" s="65"/>
    </row>
    <row r="28" spans="1:10" x14ac:dyDescent="0.2">
      <c r="A28" s="68" t="s">
        <v>98</v>
      </c>
      <c r="B28" s="70"/>
      <c r="C28" s="72"/>
    </row>
    <row r="29" spans="1:10" x14ac:dyDescent="0.2">
      <c r="A29" s="69" t="str">
        <f>"basiert auf "&amp;A21</f>
        <v>basiert auf Suspensionsdichte</v>
      </c>
      <c r="B29" s="70" t="str">
        <f>B21</f>
        <v>[kg/m3]</v>
      </c>
      <c r="C29" s="77">
        <f>C21</f>
        <v>1790</v>
      </c>
    </row>
    <row r="30" spans="1:10" x14ac:dyDescent="0.2">
      <c r="A30" s="69" t="str">
        <f>"und "&amp;Summery!A13</f>
        <v>und Tiefe der Bohrung</v>
      </c>
      <c r="B30" s="78" t="str">
        <f>Calc!G9</f>
        <v>m</v>
      </c>
      <c r="C30" s="72">
        <f>Calc!F9</f>
        <v>150</v>
      </c>
    </row>
    <row r="32" spans="1:10" x14ac:dyDescent="0.2">
      <c r="A32" s="37"/>
      <c r="B32" s="37"/>
    </row>
    <row r="36" spans="1:1" x14ac:dyDescent="0.2">
      <c r="A36" s="27"/>
    </row>
  </sheetData>
  <hyperlinks>
    <hyperlink ref="C10" r:id="rId1"/>
    <hyperlink ref="C9" r:id="rId2"/>
  </hyperlinks>
  <pageMargins left="0.7" right="0.7" top="0.78740157499999996" bottom="0.78740157499999996" header="0.3" footer="0.3"/>
  <pageSetup paperSize="9" orientation="landscape" r:id="rId3"/>
  <headerFooter>
    <oddHeader>&amp;L&amp;8erdsondenoptimierung.ch&amp;C&amp;8Bohrlochvolumen und Hinterfüllmaterial-Mengen - HDG Thermo HS&amp;R&amp;8Seite &amp;P</oddHeader>
    <oddFooter>&amp;L&amp;8&amp;D&amp;C&amp;8ZHAW ¦ Institut für Facility Management&amp;R&amp;8R. Mantel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opLeftCell="A13" zoomScaleNormal="100" workbookViewId="0">
      <selection activeCell="A27" sqref="A27:B27"/>
    </sheetView>
  </sheetViews>
  <sheetFormatPr baseColWidth="10" defaultColWidth="36.85546875" defaultRowHeight="12.75" x14ac:dyDescent="0.2"/>
  <cols>
    <col min="1" max="1" width="38.42578125" style="22" bestFit="1" customWidth="1"/>
    <col min="2" max="2" width="8" style="23" bestFit="1" customWidth="1"/>
    <col min="3" max="3" width="38.42578125" style="22" bestFit="1" customWidth="1"/>
    <col min="4" max="4" width="8" style="21" bestFit="1" customWidth="1"/>
    <col min="5" max="6" width="20.42578125" style="22" customWidth="1"/>
    <col min="7" max="7" width="24.42578125" style="22" customWidth="1"/>
    <col min="8" max="16384" width="36.85546875" style="22"/>
  </cols>
  <sheetData>
    <row r="2" spans="1:7" x14ac:dyDescent="0.2">
      <c r="A2" s="49" t="s">
        <v>23</v>
      </c>
      <c r="C2" s="15"/>
    </row>
    <row r="3" spans="1:7" x14ac:dyDescent="0.2">
      <c r="A3" s="16" t="s">
        <v>85</v>
      </c>
    </row>
    <row r="5" spans="1:7" x14ac:dyDescent="0.2">
      <c r="A5" s="47"/>
      <c r="B5" s="66"/>
      <c r="C5" s="75"/>
      <c r="D5" s="18"/>
      <c r="E5" s="17"/>
      <c r="F5" s="17"/>
      <c r="G5" s="17"/>
    </row>
    <row r="6" spans="1:7" s="24" customFormat="1" x14ac:dyDescent="0.2">
      <c r="A6" s="23" t="s">
        <v>24</v>
      </c>
      <c r="B6" s="23"/>
      <c r="C6" s="22" t="s">
        <v>138</v>
      </c>
      <c r="D6" s="21"/>
      <c r="F6" s="19"/>
      <c r="G6" s="19"/>
    </row>
    <row r="7" spans="1:7" s="24" customFormat="1" x14ac:dyDescent="0.2">
      <c r="A7" s="23"/>
      <c r="B7" s="23"/>
      <c r="C7" s="22" t="s">
        <v>140</v>
      </c>
      <c r="D7" s="21"/>
      <c r="F7" s="19"/>
      <c r="G7" s="19"/>
    </row>
    <row r="8" spans="1:7" s="24" customFormat="1" x14ac:dyDescent="0.2">
      <c r="A8" s="23"/>
      <c r="B8" s="23"/>
      <c r="C8" s="22" t="s">
        <v>139</v>
      </c>
      <c r="D8" s="21"/>
      <c r="F8" s="19"/>
      <c r="G8" s="19"/>
    </row>
    <row r="9" spans="1:7" s="24" customFormat="1" x14ac:dyDescent="0.2">
      <c r="A9" s="23"/>
      <c r="B9" s="23"/>
      <c r="C9" s="22" t="s">
        <v>149</v>
      </c>
      <c r="D9" s="21"/>
      <c r="F9" s="19"/>
      <c r="G9" s="19"/>
    </row>
    <row r="10" spans="1:7" s="24" customFormat="1" x14ac:dyDescent="0.2">
      <c r="A10" s="46" t="s">
        <v>99</v>
      </c>
      <c r="B10" s="23"/>
      <c r="C10" s="22"/>
      <c r="D10" s="21"/>
      <c r="F10" s="19"/>
      <c r="G10" s="19"/>
    </row>
    <row r="11" spans="1:7" s="24" customFormat="1" x14ac:dyDescent="0.2">
      <c r="A11" s="25" t="s">
        <v>100</v>
      </c>
      <c r="B11" s="23"/>
      <c r="C11" s="36" t="s">
        <v>83</v>
      </c>
      <c r="D11" s="21"/>
      <c r="F11" s="19"/>
      <c r="G11" s="19"/>
    </row>
    <row r="12" spans="1:7" s="24" customFormat="1" x14ac:dyDescent="0.2">
      <c r="A12" s="25" t="s">
        <v>102</v>
      </c>
      <c r="B12" s="23"/>
      <c r="C12" s="26" t="s">
        <v>82</v>
      </c>
      <c r="D12" s="21"/>
      <c r="F12" s="19"/>
      <c r="G12" s="19"/>
    </row>
    <row r="13" spans="1:7" s="24" customFormat="1" x14ac:dyDescent="0.2">
      <c r="A13" s="25"/>
      <c r="B13" s="23"/>
      <c r="C13" s="25"/>
      <c r="D13" s="21"/>
      <c r="E13" s="52"/>
      <c r="F13" s="19"/>
      <c r="G13" s="19"/>
    </row>
    <row r="14" spans="1:7" s="24" customFormat="1" x14ac:dyDescent="0.2">
      <c r="A14" s="25"/>
      <c r="B14" s="67"/>
      <c r="C14" s="25"/>
      <c r="D14" s="21"/>
      <c r="E14" s="25"/>
      <c r="F14" s="19"/>
      <c r="G14" s="19"/>
    </row>
    <row r="15" spans="1:7" s="24" customFormat="1" x14ac:dyDescent="0.2">
      <c r="A15" s="23" t="str">
        <f>Summery!H16</f>
        <v>Frostschutz</v>
      </c>
      <c r="B15" s="23"/>
      <c r="C15" s="27" t="s">
        <v>26</v>
      </c>
      <c r="D15" s="23" t="s">
        <v>89</v>
      </c>
      <c r="G15" s="19"/>
    </row>
    <row r="16" spans="1:7" s="24" customFormat="1" x14ac:dyDescent="0.2">
      <c r="A16" s="23" t="str">
        <f>Summery!I16</f>
        <v>Wärmeleitfähigkeit</v>
      </c>
      <c r="B16" s="23" t="str">
        <f>Summery!I18</f>
        <v>[Wm.K]</v>
      </c>
      <c r="C16" s="27" t="s">
        <v>86</v>
      </c>
      <c r="D16" s="23" t="s">
        <v>84</v>
      </c>
      <c r="G16" s="19"/>
    </row>
    <row r="17" spans="1:10" s="24" customFormat="1" x14ac:dyDescent="0.2">
      <c r="A17" s="23" t="str">
        <f>Summery!J16</f>
        <v>spez. Suspensionsmenge</v>
      </c>
      <c r="B17" s="23" t="str">
        <f>Summery!J18</f>
        <v>[l/kg]</v>
      </c>
      <c r="C17" s="43">
        <v>0.83299999999999996</v>
      </c>
      <c r="D17" s="23" t="s">
        <v>87</v>
      </c>
      <c r="G17" s="19"/>
    </row>
    <row r="18" spans="1:10" s="24" customFormat="1" x14ac:dyDescent="0.2">
      <c r="A18" s="69" t="str">
        <f>Summery!J17</f>
        <v>(Susp.menge [l]/Feststoff-Menge [kg])</v>
      </c>
      <c r="B18" s="23"/>
      <c r="C18" s="22"/>
      <c r="D18" s="22"/>
      <c r="G18" s="19"/>
      <c r="J18" s="22"/>
    </row>
    <row r="19" spans="1:10" x14ac:dyDescent="0.2">
      <c r="A19" s="23" t="str">
        <f>Summery!K16</f>
        <v>Wasser- [l]/Feststoffwert [kg] (W/F-Wert)</v>
      </c>
      <c r="C19" s="22">
        <v>0.5</v>
      </c>
      <c r="D19" s="23" t="s">
        <v>88</v>
      </c>
    </row>
    <row r="20" spans="1:10" x14ac:dyDescent="0.2">
      <c r="A20" s="23" t="str">
        <f>Summery!L16</f>
        <v>Gewicht/Sack</v>
      </c>
      <c r="B20" s="23" t="str">
        <f>Summery!L18</f>
        <v>[kg]</v>
      </c>
      <c r="C20" s="28">
        <v>25</v>
      </c>
      <c r="D20" s="23"/>
    </row>
    <row r="21" spans="1:10" x14ac:dyDescent="0.2">
      <c r="A21" s="23" t="str">
        <f>Summery!M16</f>
        <v>Suspensionsdichte</v>
      </c>
      <c r="B21" s="23" t="str">
        <f>Summery!M18</f>
        <v>[kg/m3]</v>
      </c>
      <c r="C21" s="29">
        <v>1200</v>
      </c>
      <c r="D21" s="23" t="s">
        <v>87</v>
      </c>
    </row>
    <row r="22" spans="1:10" x14ac:dyDescent="0.2">
      <c r="A22" s="23"/>
    </row>
    <row r="23" spans="1:10" s="24" customFormat="1" x14ac:dyDescent="0.2">
      <c r="A23" s="20" t="str">
        <f>Summery!D16</f>
        <v>Feststoff-Menge</v>
      </c>
      <c r="B23" s="67" t="str">
        <f>Summery!D18</f>
        <v>[kg]</v>
      </c>
      <c r="C23" s="31">
        <f>Calc!G20/$C$17</f>
        <v>1131.4259256625905</v>
      </c>
      <c r="D23" s="146"/>
      <c r="E23" s="152"/>
      <c r="F23" s="53"/>
    </row>
    <row r="24" spans="1:10" s="24" customFormat="1" x14ac:dyDescent="0.2">
      <c r="A24" s="20" t="str">
        <f>Summery!E16</f>
        <v>Zugabemenge Wasser</v>
      </c>
      <c r="B24" s="67" t="str">
        <f>Summery!E18</f>
        <v>[l]</v>
      </c>
      <c r="C24" s="31">
        <f>$C$19*C23</f>
        <v>565.71296283129527</v>
      </c>
      <c r="D24" s="146"/>
    </row>
    <row r="25" spans="1:10" s="24" customFormat="1" x14ac:dyDescent="0.2">
      <c r="A25" s="20" t="str">
        <f>Summery!F16</f>
        <v>Säcke</v>
      </c>
      <c r="B25" s="145" t="str">
        <f>Summery!F18</f>
        <v>[Stk]</v>
      </c>
      <c r="C25" s="31">
        <f>C23/$C$20</f>
        <v>45.257037026503625</v>
      </c>
      <c r="D25" s="151"/>
    </row>
    <row r="26" spans="1:10" s="24" customFormat="1" x14ac:dyDescent="0.2">
      <c r="A26" s="20" t="str">
        <f>Summery!G16</f>
        <v>Suspensionsmenge</v>
      </c>
      <c r="B26" s="145" t="str">
        <f>Summery!G18</f>
        <v>[kg]</v>
      </c>
      <c r="C26" s="31">
        <f>Calc!F20*$C$21</f>
        <v>1130.9733552923256</v>
      </c>
      <c r="F26" s="149"/>
    </row>
    <row r="27" spans="1:10" x14ac:dyDescent="0.2">
      <c r="A27" s="65" t="str">
        <f>Summery!N16</f>
        <v>Minimal notwendiger Prüfdruck</v>
      </c>
      <c r="B27" s="61" t="str">
        <f>Summery!N18</f>
        <v>[bar]</v>
      </c>
      <c r="C27" s="65">
        <v>9</v>
      </c>
      <c r="D27" s="74"/>
      <c r="E27" s="65"/>
      <c r="F27" s="65"/>
      <c r="G27" s="65"/>
    </row>
    <row r="28" spans="1:10" x14ac:dyDescent="0.2">
      <c r="A28" s="68" t="s">
        <v>98</v>
      </c>
      <c r="B28" s="70"/>
    </row>
    <row r="29" spans="1:10" x14ac:dyDescent="0.2">
      <c r="A29" s="69" t="str">
        <f>"basiert auf "&amp;A21</f>
        <v>basiert auf Suspensionsdichte</v>
      </c>
      <c r="B29" s="70" t="str">
        <f>B21</f>
        <v>[kg/m3]</v>
      </c>
      <c r="C29" s="77">
        <f>C21</f>
        <v>1200</v>
      </c>
    </row>
    <row r="30" spans="1:10" x14ac:dyDescent="0.2">
      <c r="A30" s="69" t="str">
        <f>"und "&amp;Summery!A13</f>
        <v>und Tiefe der Bohrung</v>
      </c>
      <c r="B30" s="78" t="str">
        <f>Calc!G9</f>
        <v>m</v>
      </c>
      <c r="C30" s="72">
        <f>Calc!F9</f>
        <v>150</v>
      </c>
    </row>
    <row r="32" spans="1:10" x14ac:dyDescent="0.2">
      <c r="A32" s="37"/>
      <c r="B32" s="37"/>
    </row>
    <row r="36" spans="1:1" x14ac:dyDescent="0.2">
      <c r="A36" s="27"/>
    </row>
  </sheetData>
  <hyperlinks>
    <hyperlink ref="C12" r:id="rId1"/>
    <hyperlink ref="C11" r:id="rId2"/>
  </hyperlinks>
  <pageMargins left="0.7" right="0.7" top="0.78740157499999996" bottom="0.78740157499999996" header="0.3" footer="0.3"/>
  <pageSetup paperSize="9" orientation="landscape" r:id="rId3"/>
  <headerFooter>
    <oddHeader>&amp;L&amp;8erdsondenoptimierung.ch&amp;C&amp;8Bohrlochvolumen und Hinterfüllmaterial-Mengen - Duritherm&amp;R&amp;8Seite &amp;P</oddHeader>
    <oddFooter>&amp;L&amp;8&amp;D&amp;C&amp;8ZHAW ¦ Institut für Facility Management&amp;R&amp;8R. Mantel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vt:i4>
      </vt:variant>
    </vt:vector>
  </HeadingPairs>
  <TitlesOfParts>
    <vt:vector size="14" baseType="lpstr">
      <vt:lpstr>Tool</vt:lpstr>
      <vt:lpstr>Anleitung</vt:lpstr>
      <vt:lpstr>Summery</vt:lpstr>
      <vt:lpstr>Calc</vt:lpstr>
      <vt:lpstr>ThermoCem</vt:lpstr>
      <vt:lpstr>EWM</vt:lpstr>
      <vt:lpstr>Calidutherm</vt:lpstr>
      <vt:lpstr>HDG</vt:lpstr>
      <vt:lpstr>Duritherm</vt:lpstr>
      <vt:lpstr>StüwathermZ</vt:lpstr>
      <vt:lpstr>StüwapressF10</vt:lpstr>
      <vt:lpstr>k-Injekt</vt:lpstr>
      <vt:lpstr>Anleitung!_GoBack</vt:lpstr>
      <vt:lpstr>Tool!Drucktitel</vt:lpstr>
    </vt:vector>
  </TitlesOfParts>
  <Company>ZHAW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Mantel Rico (mntl)</dc:creator>
  <cp:lastModifiedBy>Kammer Christoph (xkac)</cp:lastModifiedBy>
  <cp:lastPrinted>2011-08-25T10:27:02Z</cp:lastPrinted>
  <dcterms:created xsi:type="dcterms:W3CDTF">2010-12-20T13:26:50Z</dcterms:created>
  <dcterms:modified xsi:type="dcterms:W3CDTF">2013-09-27T14:27:57Z</dcterms:modified>
</cp:coreProperties>
</file>